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Virooshan Naidu\Desktop\HQ\"/>
    </mc:Choice>
  </mc:AlternateContent>
  <xr:revisionPtr revIDLastSave="0" documentId="13_ncr:1_{E61BC0E5-91D3-4852-84C8-6DCC304B97B2}" xr6:coauthVersionLast="47" xr6:coauthVersionMax="47" xr10:uidLastSave="{00000000-0000-0000-0000-000000000000}"/>
  <workbookProtection workbookAlgorithmName="SHA-512" workbookHashValue="lUGDimkj26H1WfW0wYYpOiuUmQLgW+JOmENAm/j7CWfNykXIj6p/PwM8ghCqtpXlpVgHQWiWe08zEEOHiPlrGA==" workbookSaltValue="XwtjEAvH7tVGd5hs79qNhw==" workbookSpinCount="100000" lockStructure="1"/>
  <bookViews>
    <workbookView showVerticalScroll="0" xWindow="828" yWindow="1116" windowWidth="17280" windowHeight="9420" xr2:uid="{00000000-000D-0000-FFFF-FFFF00000000}"/>
  </bookViews>
  <sheets>
    <sheet name="CapSizing" sheetId="1" r:id="rId1"/>
  </sheets>
  <definedNames>
    <definedName name="Cap_Vr">CapSizing!$E$13</definedName>
    <definedName name="cap1st">CapSizing!$E$50</definedName>
    <definedName name="CapRatio">CapSizing!$E$48</definedName>
    <definedName name="CapSurgeAmpR">CapSizing!$AC$21</definedName>
    <definedName name="CTsel">CapSizing!$E$12</definedName>
    <definedName name="CTval">CapSizing!$E$57</definedName>
    <definedName name="deltaSize">CapSizing!$AA$18</definedName>
    <definedName name="L_pct">CapSizing!$E$16</definedName>
    <definedName name="Lfactor">CapSizing!$AA$17</definedName>
    <definedName name="MD_org">CapSizing!$E$7</definedName>
    <definedName name="MD_pct">CapSizing!$E$10</definedName>
    <definedName name="Net_Vll">CapSizing!$E$14</definedName>
    <definedName name="norm_kW">CapSizing!$E$49</definedName>
    <definedName name="PFini">CapSizing!$E$8</definedName>
    <definedName name="PFtar">CapSizing!$E$9</definedName>
    <definedName name="QHi13pct">CapSizing!$J$55</definedName>
    <definedName name="QLo13pct">CapSizing!$J$54</definedName>
    <definedName name="QreqLimitHi">CapSizing!$I$55</definedName>
    <definedName name="QreqLimitLo">CapSizing!$I$54</definedName>
    <definedName name="reqCapR">CapSizing!$E$21</definedName>
    <definedName name="surgeFactor">CapSizing!$AA$19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7" i="1" l="1"/>
  <c r="E48" i="1" s="1"/>
  <c r="F15" i="1" l="1"/>
  <c r="G21" i="1"/>
  <c r="I49" i="1"/>
  <c r="I50" i="1"/>
  <c r="J50" i="1" s="1"/>
  <c r="J49" i="1" l="1"/>
  <c r="E11" i="1" s="1"/>
  <c r="F11" i="1"/>
  <c r="E57" i="1"/>
  <c r="E20" i="1" s="1"/>
  <c r="E49" i="1"/>
  <c r="E54" i="1" s="1"/>
  <c r="F54" i="1" s="1"/>
  <c r="E21" i="1" l="1"/>
  <c r="E53" i="1"/>
  <c r="F53" i="1" s="1"/>
  <c r="G53" i="1" l="1"/>
  <c r="E56" i="1"/>
  <c r="F16" i="1"/>
  <c r="J55" i="1" l="1"/>
  <c r="J54" i="1"/>
  <c r="G56" i="1"/>
  <c r="I54" i="1"/>
  <c r="I55" i="1"/>
  <c r="E50" i="1"/>
  <c r="D25" i="1" s="1"/>
  <c r="D38" i="1" l="1"/>
  <c r="E51" i="1"/>
  <c r="D31" i="1"/>
  <c r="D44" i="1" s="1"/>
  <c r="D28" i="1"/>
  <c r="D41" i="1" s="1"/>
  <c r="D29" i="1"/>
  <c r="D42" i="1" s="1"/>
  <c r="D30" i="1"/>
  <c r="D43" i="1" s="1"/>
  <c r="D27" i="1"/>
  <c r="D40" i="1" s="1"/>
  <c r="D26" i="1"/>
  <c r="D39" i="1" s="1"/>
  <c r="E31" i="1" l="1"/>
  <c r="E44" i="1" s="1"/>
  <c r="E27" i="1"/>
  <c r="E40" i="1" s="1"/>
  <c r="E26" i="1"/>
  <c r="E39" i="1" s="1"/>
  <c r="E25" i="1"/>
  <c r="E38" i="1" s="1"/>
  <c r="E30" i="1"/>
  <c r="E43" i="1" s="1"/>
  <c r="E29" i="1"/>
  <c r="E42" i="1" s="1"/>
  <c r="E28" i="1"/>
  <c r="E41" i="1" s="1"/>
  <c r="F31" i="1" l="1"/>
  <c r="F44" i="1" s="1"/>
  <c r="F26" i="1"/>
  <c r="F39" i="1" s="1"/>
  <c r="F25" i="1"/>
  <c r="F38" i="1" s="1"/>
  <c r="F29" i="1"/>
  <c r="F42" i="1" s="1"/>
  <c r="F27" i="1"/>
  <c r="F40" i="1" s="1"/>
  <c r="F28" i="1"/>
  <c r="F41" i="1" s="1"/>
  <c r="F30" i="1"/>
  <c r="F43" i="1" s="1"/>
  <c r="G31" i="1" l="1"/>
  <c r="G44" i="1" s="1"/>
  <c r="G26" i="1"/>
  <c r="G39" i="1" s="1"/>
  <c r="G29" i="1"/>
  <c r="G42" i="1" s="1"/>
  <c r="G28" i="1"/>
  <c r="G41" i="1" s="1"/>
  <c r="G27" i="1"/>
  <c r="G40" i="1" s="1"/>
  <c r="G25" i="1"/>
  <c r="G38" i="1" s="1"/>
  <c r="G30" i="1"/>
  <c r="G43" i="1" s="1"/>
  <c r="H31" i="1" l="1"/>
  <c r="H44" i="1" s="1"/>
  <c r="H26" i="1"/>
  <c r="H39" i="1" s="1"/>
  <c r="H28" i="1"/>
  <c r="H29" i="1"/>
  <c r="H42" i="1" s="1"/>
  <c r="H25" i="1"/>
  <c r="H38" i="1" s="1"/>
  <c r="H27" i="1"/>
  <c r="H30" i="1"/>
  <c r="H43" i="1" s="1"/>
  <c r="I31" i="1" l="1"/>
  <c r="I44" i="1" s="1"/>
  <c r="I27" i="1"/>
  <c r="I40" i="1" s="1"/>
  <c r="H40" i="1"/>
  <c r="I28" i="1"/>
  <c r="I41" i="1" s="1"/>
  <c r="H41" i="1"/>
  <c r="I26" i="1"/>
  <c r="I30" i="1"/>
  <c r="I43" i="1" s="1"/>
  <c r="I29" i="1"/>
  <c r="I42" i="1" s="1"/>
  <c r="I25" i="1"/>
  <c r="I38" i="1" s="1"/>
  <c r="J31" i="1" l="1"/>
  <c r="J44" i="1" s="1"/>
  <c r="J27" i="1"/>
  <c r="J40" i="1" s="1"/>
  <c r="J26" i="1"/>
  <c r="J39" i="1" s="1"/>
  <c r="I39" i="1"/>
  <c r="J28" i="1"/>
  <c r="J41" i="1" s="1"/>
  <c r="J29" i="1"/>
  <c r="J42" i="1" s="1"/>
  <c r="J25" i="1"/>
  <c r="J38" i="1" s="1"/>
  <c r="J30" i="1"/>
  <c r="J43" i="1" s="1"/>
  <c r="K31" i="1" l="1"/>
  <c r="K44" i="1" s="1"/>
  <c r="K26" i="1"/>
  <c r="K39" i="1" s="1"/>
  <c r="K27" i="1"/>
  <c r="K28" i="1"/>
  <c r="K41" i="1" s="1"/>
  <c r="K25" i="1"/>
  <c r="K29" i="1"/>
  <c r="K42" i="1" s="1"/>
  <c r="K30" i="1"/>
  <c r="K43" i="1" s="1"/>
  <c r="L31" i="1" l="1"/>
  <c r="L44" i="1" s="1"/>
  <c r="L26" i="1"/>
  <c r="L39" i="1" s="1"/>
  <c r="L27" i="1"/>
  <c r="L40" i="1" s="1"/>
  <c r="K40" i="1"/>
  <c r="L28" i="1"/>
  <c r="L41" i="1" s="1"/>
  <c r="L25" i="1"/>
  <c r="L38" i="1" s="1"/>
  <c r="K38" i="1"/>
  <c r="L30" i="1"/>
  <c r="L43" i="1" s="1"/>
  <c r="L29" i="1"/>
  <c r="L42" i="1" s="1"/>
  <c r="M31" i="1" l="1"/>
  <c r="M44" i="1" s="1"/>
  <c r="M26" i="1"/>
  <c r="M39" i="1" s="1"/>
  <c r="M27" i="1"/>
  <c r="M40" i="1" s="1"/>
  <c r="M25" i="1"/>
  <c r="M38" i="1" s="1"/>
  <c r="M28" i="1"/>
  <c r="M41" i="1" s="1"/>
  <c r="M29" i="1"/>
  <c r="M42" i="1" s="1"/>
  <c r="M30" i="1"/>
  <c r="M43" i="1" s="1"/>
  <c r="N31" i="1" l="1"/>
  <c r="N44" i="1" s="1"/>
  <c r="N25" i="1"/>
  <c r="N38" i="1" s="1"/>
  <c r="N26" i="1"/>
  <c r="O26" i="1" s="1"/>
  <c r="O39" i="1" s="1"/>
  <c r="N27" i="1"/>
  <c r="N40" i="1" s="1"/>
  <c r="N28" i="1"/>
  <c r="N41" i="1" s="1"/>
  <c r="N29" i="1"/>
  <c r="N42" i="1" s="1"/>
  <c r="N30" i="1"/>
  <c r="N43" i="1" s="1"/>
  <c r="O31" i="1" l="1"/>
  <c r="O44" i="1" s="1"/>
  <c r="O25" i="1"/>
  <c r="O38" i="1" s="1"/>
  <c r="O28" i="1"/>
  <c r="O41" i="1" s="1"/>
  <c r="N39" i="1"/>
  <c r="O27" i="1"/>
  <c r="P27" i="1" s="1"/>
  <c r="P26" i="1"/>
  <c r="P39" i="1" s="1"/>
  <c r="O30" i="1"/>
  <c r="O43" i="1" s="1"/>
  <c r="O29" i="1"/>
  <c r="O42" i="1" s="1"/>
  <c r="P31" i="1" l="1"/>
  <c r="P44" i="1" s="1"/>
  <c r="P28" i="1"/>
  <c r="P41" i="1" s="1"/>
  <c r="P25" i="1"/>
  <c r="P38" i="1" s="1"/>
  <c r="Q26" i="1"/>
  <c r="Q39" i="1" s="1"/>
  <c r="R39" i="1" s="1"/>
  <c r="Y26" i="1" s="1"/>
  <c r="Z26" i="1" s="1"/>
  <c r="O40" i="1"/>
  <c r="P40" i="1"/>
  <c r="Q27" i="1"/>
  <c r="P29" i="1"/>
  <c r="P42" i="1" s="1"/>
  <c r="P30" i="1"/>
  <c r="P43" i="1" s="1"/>
  <c r="Q31" i="1" l="1"/>
  <c r="Q44" i="1" s="1"/>
  <c r="R44" i="1" s="1"/>
  <c r="Y31" i="1" s="1"/>
  <c r="Z31" i="1" s="1"/>
  <c r="Q28" i="1"/>
  <c r="Q41" i="1" s="1"/>
  <c r="R41" i="1" s="1"/>
  <c r="Y28" i="1" s="1"/>
  <c r="Z28" i="1" s="1"/>
  <c r="R26" i="1"/>
  <c r="S26" i="1" s="1"/>
  <c r="T26" i="1" s="1"/>
  <c r="Q25" i="1"/>
  <c r="Q38" i="1" s="1"/>
  <c r="R38" i="1" s="1"/>
  <c r="Y25" i="1" s="1"/>
  <c r="Z25" i="1" s="1"/>
  <c r="Q40" i="1"/>
  <c r="R40" i="1" s="1"/>
  <c r="Y27" i="1" s="1"/>
  <c r="Z27" i="1" s="1"/>
  <c r="R27" i="1"/>
  <c r="Q29" i="1"/>
  <c r="Q30" i="1"/>
  <c r="AA26" i="1" l="1"/>
  <c r="S27" i="1"/>
  <c r="T27" i="1" s="1"/>
  <c r="Q43" i="1"/>
  <c r="R43" i="1" s="1"/>
  <c r="Q42" i="1"/>
  <c r="R42" i="1" s="1"/>
  <c r="R31" i="1"/>
  <c r="S31" i="1" s="1"/>
  <c r="T31" i="1" s="1"/>
  <c r="R28" i="1"/>
  <c r="S28" i="1" s="1"/>
  <c r="T28" i="1" s="1"/>
  <c r="R25" i="1"/>
  <c r="S25" i="1" s="1"/>
  <c r="T25" i="1" s="1"/>
  <c r="AA25" i="1" s="1"/>
  <c r="R29" i="1"/>
  <c r="R30" i="1"/>
  <c r="AA28" i="1" l="1"/>
  <c r="AB28" i="1" s="1"/>
  <c r="U28" i="1" s="1"/>
  <c r="AA31" i="1"/>
  <c r="AB31" i="1" s="1"/>
  <c r="U31" i="1" s="1"/>
  <c r="AC27" i="1"/>
  <c r="S29" i="1"/>
  <c r="S30" i="1"/>
  <c r="T30" i="1" s="1"/>
  <c r="Y29" i="1"/>
  <c r="Z29" i="1" s="1"/>
  <c r="Y30" i="1"/>
  <c r="Z30" i="1" s="1"/>
  <c r="AB26" i="1"/>
  <c r="U26" i="1" s="1"/>
  <c r="AC26" i="1"/>
  <c r="T29" i="1" l="1"/>
  <c r="AA29" i="1" s="1"/>
  <c r="AB29" i="1" s="1"/>
  <c r="U29" i="1" s="1"/>
  <c r="AC31" i="1"/>
  <c r="AC28" i="1"/>
  <c r="AA27" i="1"/>
  <c r="AB27" i="1" s="1"/>
  <c r="U27" i="1" s="1"/>
  <c r="AC30" i="1"/>
  <c r="AB25" i="1"/>
  <c r="U25" i="1" s="1"/>
  <c r="AC25" i="1"/>
  <c r="AC29" i="1" l="1"/>
  <c r="AA30" i="1"/>
  <c r="AB30" i="1" s="1"/>
  <c r="U30" i="1" s="1"/>
</calcChain>
</file>

<file path=xl/sharedStrings.xml><?xml version="1.0" encoding="utf-8"?>
<sst xmlns="http://schemas.openxmlformats.org/spreadsheetml/2006/main" count="90" uniqueCount="82">
  <si>
    <t>/ 5A</t>
  </si>
  <si>
    <t>kVar</t>
  </si>
  <si>
    <t>Caps</t>
  </si>
  <si>
    <t>Total kVar</t>
  </si>
  <si>
    <t>Number of Steps</t>
  </si>
  <si>
    <t>1st Step Cap Size :</t>
  </si>
  <si>
    <t>Auto</t>
  </si>
  <si>
    <t>MD :</t>
  </si>
  <si>
    <t>Initial PF :</t>
  </si>
  <si>
    <t>Target PF :</t>
  </si>
  <si>
    <t>Harmonic Filter :</t>
  </si>
  <si>
    <t>None</t>
  </si>
  <si>
    <t>kW</t>
  </si>
  <si>
    <t>%</t>
  </si>
  <si>
    <t>Enter Parameters Here</t>
  </si>
  <si>
    <t>Switching Program</t>
  </si>
  <si>
    <t>Capacitor Sizing &amp; Selection</t>
  </si>
  <si>
    <t>ct</t>
  </si>
  <si>
    <t>Recommended CT Range :</t>
  </si>
  <si>
    <t>PQM-1000s - The Smarter Choice for Power Quality Monitoring</t>
  </si>
  <si>
    <t>Total Cap Ampere</t>
  </si>
  <si>
    <t>Note:</t>
  </si>
  <si>
    <t>rated V actual</t>
  </si>
  <si>
    <t>rated V Cap</t>
  </si>
  <si>
    <t>TotCapReq :</t>
  </si>
  <si>
    <t>Q_L</t>
  </si>
  <si>
    <t>Q_H</t>
  </si>
  <si>
    <t>Limit (10%)</t>
  </si>
  <si>
    <t>P-1</t>
  </si>
  <si>
    <t>P-2</t>
  </si>
  <si>
    <t>P-3</t>
  </si>
  <si>
    <t>P-4</t>
  </si>
  <si>
    <t>P-5</t>
  </si>
  <si>
    <t>P-6</t>
  </si>
  <si>
    <t>P-7</t>
  </si>
  <si>
    <t>CT Hi</t>
  </si>
  <si>
    <t>CT Lo</t>
  </si>
  <si>
    <t>Amp</t>
  </si>
  <si>
    <t>A</t>
  </si>
  <si>
    <t>Nominal MD :</t>
  </si>
  <si>
    <t>1st Cap :</t>
  </si>
  <si>
    <t>1st Cap Amp :</t>
  </si>
  <si>
    <t>1% cap :</t>
  </si>
  <si>
    <t>look up 1st cap :</t>
  </si>
  <si>
    <t>recommended</t>
  </si>
  <si>
    <t>Required kVar :</t>
  </si>
  <si>
    <t>kVar /</t>
  </si>
  <si>
    <t>Valid</t>
  </si>
  <si>
    <t>Invalid</t>
  </si>
  <si>
    <t>MCCB Size</t>
  </si>
  <si>
    <t>The above selection / option is only provided as a guideline for capacitor step &amp; size selection.  Actual load condition may vary and require different combination / selection of capacitor steps &amp; sizes.</t>
  </si>
  <si>
    <t>Capacitor Steps (kVar)</t>
  </si>
  <si>
    <t>DP-xx series Protection Relay - Best in Class</t>
  </si>
  <si>
    <t>Size of Last Step</t>
  </si>
  <si>
    <t>Amp of Last Step</t>
  </si>
  <si>
    <t>Sq(Vs/Vr) :</t>
  </si>
  <si>
    <t>CT Value :</t>
  </si>
  <si>
    <t>CT Size :</t>
  </si>
  <si>
    <t>CT size Selection :</t>
  </si>
  <si>
    <t>Cap rated Voltage :</t>
  </si>
  <si>
    <t>Network Voltage (L-L) :</t>
  </si>
  <si>
    <t>Vac</t>
  </si>
  <si>
    <t>MCCB ReSized</t>
  </si>
  <si>
    <t>Extremely user friendly with many hi-End features (Waveform view, 360 Phasor view, THD Specturm Bar graph view, all relevant electrical Parameters, external plug-in-type RS-485 module, etc)</t>
  </si>
  <si>
    <r>
      <t xml:space="preserve">Extremely user friendly controls for easy parameter setting and viewing (superior tripping response to short circuit with </t>
    </r>
    <r>
      <rPr>
        <b/>
        <i/>
        <sz val="10"/>
        <color theme="1"/>
        <rFont val="Calibri"/>
        <family val="2"/>
        <scheme val="minor"/>
      </rPr>
      <t>SPARC</t>
    </r>
    <r>
      <rPr>
        <sz val="10"/>
        <color theme="1"/>
        <rFont val="Calibri"/>
        <family val="2"/>
        <scheme val="minor"/>
      </rPr>
      <t>, trip events history with last tripped elapsed time, fault events history, external plug-in-type RS-485 module, etc)</t>
    </r>
  </si>
  <si>
    <t>surge A =</t>
  </si>
  <si>
    <t>x</t>
  </si>
  <si>
    <t>Recommeded MCCB Size</t>
  </si>
  <si>
    <t>1:1:1:1:1</t>
  </si>
  <si>
    <t>1:2:2:2:2</t>
  </si>
  <si>
    <t>1:2:4:4:4</t>
  </si>
  <si>
    <t>1:1:2:2:2</t>
  </si>
  <si>
    <t>1:1:1:2:2</t>
  </si>
  <si>
    <t>1:1:2:2:4</t>
  </si>
  <si>
    <t>1:2:4:8:8</t>
  </si>
  <si>
    <t>deltaSize</t>
  </si>
  <si>
    <t>surgeF</t>
  </si>
  <si>
    <t>Lfactor</t>
  </si>
  <si>
    <t>Doc Version: 1.02</t>
  </si>
  <si>
    <t>Load Factor (% MD) :</t>
  </si>
  <si>
    <t>Extremely user friendly with a host of features (THD &amp; THD spectrum measurement, exhaust FAN control, smart Switching Sequence, auto CK, Alarm, operation from 1% load, capicitor usage stats, etc)</t>
  </si>
  <si>
    <t>NV-xx - The Smarter Choice for Automatic Power Factor 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</si>
</sst>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trike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3" borderId="1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0" fillId="0" borderId="0" xfId="0" applyAlignment="1">
      <alignment horizontal="right"/>
    </xf>
    <xf numFmtId="1" fontId="4" fillId="4" borderId="0" xfId="0" applyNumberFormat="1" applyFont="1" applyFill="1" applyProtection="1">
      <protection locked="0"/>
    </xf>
    <xf numFmtId="0" fontId="4" fillId="4" borderId="0" xfId="0" applyFont="1" applyFill="1"/>
    <xf numFmtId="2" fontId="4" fillId="4" borderId="0" xfId="0" applyNumberFormat="1" applyFont="1" applyFill="1" applyProtection="1">
      <protection locked="0"/>
    </xf>
    <xf numFmtId="0" fontId="4" fillId="4" borderId="0" xfId="0" quotePrefix="1" applyFont="1" applyFill="1"/>
    <xf numFmtId="0" fontId="4" fillId="4" borderId="0" xfId="0" applyFont="1" applyFill="1" applyAlignment="1" applyProtection="1">
      <alignment horizontal="right"/>
      <protection locked="0"/>
    </xf>
    <xf numFmtId="0" fontId="5" fillId="0" borderId="0" xfId="0" applyFont="1" applyAlignment="1">
      <alignment vertical="top" wrapText="1"/>
    </xf>
    <xf numFmtId="0" fontId="4" fillId="0" borderId="0" xfId="0" applyFont="1"/>
    <xf numFmtId="0" fontId="1" fillId="0" borderId="23" xfId="0" applyFont="1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" xfId="0" applyBorder="1"/>
    <xf numFmtId="0" fontId="0" fillId="0" borderId="24" xfId="0" applyBorder="1"/>
    <xf numFmtId="0" fontId="0" fillId="0" borderId="22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0" borderId="2" xfId="0" applyBorder="1" applyAlignment="1">
      <alignment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 vertical="top" wrapText="1"/>
    </xf>
    <xf numFmtId="2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13" xfId="0" applyFont="1" applyFill="1" applyBorder="1" applyAlignment="1" applyProtection="1">
      <alignment horizontal="center"/>
      <protection hidden="1"/>
    </xf>
    <xf numFmtId="0" fontId="1" fillId="2" borderId="17" xfId="0" applyFont="1" applyFill="1" applyBorder="1" applyAlignment="1" applyProtection="1">
      <alignment horizontal="center"/>
      <protection hidden="1"/>
    </xf>
    <xf numFmtId="0" fontId="1" fillId="2" borderId="7" xfId="0" applyFont="1" applyFill="1" applyBorder="1" applyAlignment="1" applyProtection="1">
      <alignment horizontal="center"/>
      <protection hidden="1"/>
    </xf>
    <xf numFmtId="0" fontId="1" fillId="2" borderId="14" xfId="0" applyFont="1" applyFill="1" applyBorder="1" applyAlignment="1" applyProtection="1">
      <alignment horizontal="center"/>
      <protection hidden="1"/>
    </xf>
    <xf numFmtId="0" fontId="1" fillId="2" borderId="18" xfId="0" applyFont="1" applyFill="1" applyBorder="1" applyAlignment="1" applyProtection="1">
      <alignment horizontal="center"/>
      <protection hidden="1"/>
    </xf>
    <xf numFmtId="0" fontId="1" fillId="2" borderId="10" xfId="0" applyFont="1" applyFill="1" applyBorder="1" applyAlignment="1" applyProtection="1">
      <alignment horizontal="center"/>
      <protection hidden="1"/>
    </xf>
    <xf numFmtId="0" fontId="1" fillId="2" borderId="15" xfId="0" applyFont="1" applyFill="1" applyBorder="1" applyAlignment="1" applyProtection="1">
      <alignment horizontal="center"/>
      <protection hidden="1"/>
    </xf>
    <xf numFmtId="0" fontId="1" fillId="2" borderId="19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center" vertical="top" wrapText="1"/>
    </xf>
    <xf numFmtId="0" fontId="6" fillId="2" borderId="25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center"/>
    </xf>
    <xf numFmtId="0" fontId="1" fillId="0" borderId="28" xfId="0" applyFont="1" applyBorder="1"/>
    <xf numFmtId="0" fontId="11" fillId="0" borderId="0" xfId="0" applyFont="1"/>
    <xf numFmtId="0" fontId="1" fillId="0" borderId="0" xfId="0" applyFont="1" applyAlignment="1">
      <alignment horizontal="center"/>
    </xf>
    <xf numFmtId="1" fontId="4" fillId="4" borderId="0" xfId="0" applyNumberFormat="1" applyFont="1" applyFill="1" applyAlignment="1" applyProtection="1">
      <alignment horizontal="right"/>
      <protection locked="0"/>
    </xf>
    <xf numFmtId="0" fontId="13" fillId="2" borderId="27" xfId="0" applyFont="1" applyFill="1" applyBorder="1" applyAlignment="1">
      <alignment horizontal="right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left" vertical="center"/>
    </xf>
    <xf numFmtId="0" fontId="0" fillId="2" borderId="25" xfId="0" applyFill="1" applyBorder="1" applyAlignment="1">
      <alignment vertical="top" wrapText="1"/>
    </xf>
    <xf numFmtId="0" fontId="13" fillId="2" borderId="27" xfId="0" applyFont="1" applyFill="1" applyBorder="1" applyAlignment="1">
      <alignment vertical="center" wrapText="1"/>
    </xf>
    <xf numFmtId="0" fontId="0" fillId="2" borderId="26" xfId="0" applyFill="1" applyBorder="1"/>
    <xf numFmtId="1" fontId="1" fillId="0" borderId="0" xfId="0" applyNumberFormat="1" applyFont="1" applyAlignment="1">
      <alignment horizontal="center"/>
    </xf>
    <xf numFmtId="9" fontId="0" fillId="0" borderId="0" xfId="0" applyNumberFormat="1" applyAlignment="1">
      <alignment vertical="top" wrapText="1"/>
    </xf>
    <xf numFmtId="165" fontId="0" fillId="0" borderId="0" xfId="0" applyNumberFormat="1" applyAlignment="1">
      <alignment vertical="top" wrapText="1"/>
    </xf>
    <xf numFmtId="0" fontId="4" fillId="0" borderId="0" xfId="0" applyFont="1" applyProtection="1">
      <protection locked="0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7"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strike val="0"/>
        <color theme="1"/>
      </font>
      <fill>
        <patternFill>
          <bgColor rgb="FFFFC000"/>
        </patternFill>
      </fill>
    </dxf>
    <dxf>
      <font>
        <strike val="0"/>
        <color theme="1"/>
      </font>
      <fill>
        <patternFill>
          <bgColor rgb="FFFFC000"/>
        </patternFill>
      </fill>
    </dxf>
    <dxf>
      <font>
        <strike val="0"/>
        <color theme="1"/>
      </font>
      <fill>
        <patternFill>
          <bgColor rgb="FFFFC000"/>
        </patternFill>
      </fill>
    </dxf>
    <dxf>
      <font>
        <strike val="0"/>
        <color theme="1"/>
      </font>
      <fill>
        <patternFill>
          <bgColor rgb="FFFFC000"/>
        </patternFill>
      </fill>
    </dxf>
    <dxf>
      <font>
        <strike val="0"/>
        <color theme="1"/>
      </font>
      <fill>
        <patternFill>
          <bgColor rgb="FFFFC000"/>
        </patternFill>
      </fill>
    </dxf>
    <dxf>
      <font>
        <strike val="0"/>
        <color theme="1"/>
      </font>
      <fill>
        <patternFill>
          <bgColor rgb="FFFFC000"/>
        </patternFill>
      </fill>
    </dxf>
    <dxf>
      <font>
        <strike val="0"/>
        <color theme="1"/>
      </font>
      <fill>
        <patternFill>
          <bgColor rgb="FFFFC0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/>
        <color theme="0"/>
      </font>
      <fill>
        <patternFill>
          <bgColor rgb="FFFF0000"/>
        </patternFill>
      </fill>
    </dxf>
    <dxf>
      <font>
        <strike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5</xdr:row>
      <xdr:rowOff>50800</xdr:rowOff>
    </xdr:from>
    <xdr:to>
      <xdr:col>4</xdr:col>
      <xdr:colOff>387350</xdr:colOff>
      <xdr:row>5</xdr:row>
      <xdr:rowOff>152400</xdr:rowOff>
    </xdr:to>
    <xdr:sp macro="" textlink="">
      <xdr:nvSpPr>
        <xdr:cNvPr id="10" name="Down Arrow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/>
        </xdr:cNvSpPr>
      </xdr:nvSpPr>
      <xdr:spPr>
        <a:xfrm>
          <a:off x="2273300" y="234950"/>
          <a:ext cx="254000" cy="101600"/>
        </a:xfrm>
        <a:prstGeom prst="downArrow">
          <a:avLst/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7</xdr:col>
      <xdr:colOff>454691</xdr:colOff>
      <xdr:row>4</xdr:row>
      <xdr:rowOff>69141</xdr:rowOff>
    </xdr:from>
    <xdr:to>
      <xdr:col>13</xdr:col>
      <xdr:colOff>341031</xdr:colOff>
      <xdr:row>9</xdr:row>
      <xdr:rowOff>146956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1168" y="1103284"/>
          <a:ext cx="2970625" cy="1105910"/>
        </a:xfrm>
        <a:prstGeom prst="rect">
          <a:avLst/>
        </a:prstGeom>
      </xdr:spPr>
    </xdr:pic>
    <xdr:clientData/>
  </xdr:twoCellAnchor>
  <xdr:twoCellAnchor>
    <xdr:from>
      <xdr:col>14</xdr:col>
      <xdr:colOff>277151</xdr:colOff>
      <xdr:row>2</xdr:row>
      <xdr:rowOff>257177</xdr:rowOff>
    </xdr:from>
    <xdr:to>
      <xdr:col>20</xdr:col>
      <xdr:colOff>499122</xdr:colOff>
      <xdr:row>10</xdr:row>
      <xdr:rowOff>135764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7241831" y="516257"/>
          <a:ext cx="3582391" cy="1897887"/>
          <a:chOff x="7552437" y="462796"/>
          <a:chExt cx="3705399" cy="1898491"/>
        </a:xfrm>
      </xdr:grpSpPr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47667" y="802946"/>
            <a:ext cx="1202668" cy="1558341"/>
          </a:xfrm>
          <a:prstGeom prst="rect">
            <a:avLst/>
          </a:prstGeom>
        </xdr:spPr>
      </xdr:pic>
      <xdr:pic>
        <xdr:nvPicPr>
          <xdr:cNvPr id="25" name="Picture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221314" y="862703"/>
            <a:ext cx="1036522" cy="1296970"/>
          </a:xfrm>
          <a:prstGeom prst="rect">
            <a:avLst/>
          </a:prstGeom>
        </xdr:spPr>
      </xdr:pic>
      <xdr:sp macro="" textlink="">
        <xdr:nvSpPr>
          <xdr:cNvPr id="26" name="TextBox 9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7641292" y="475194"/>
            <a:ext cx="991604" cy="408488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000" b="1"/>
              <a:t>Power Factor Controller</a:t>
            </a:r>
          </a:p>
        </xdr:txBody>
      </xdr:sp>
      <xdr:sp macro="" textlink="">
        <xdr:nvSpPr>
          <xdr:cNvPr id="27" name="TextBox 10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9026402" y="462796"/>
            <a:ext cx="995473" cy="408488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000" b="1"/>
              <a:t>Power Quality Analyzer</a:t>
            </a:r>
          </a:p>
        </xdr:txBody>
      </xdr:sp>
      <xdr:sp macro="" textlink="">
        <xdr:nvSpPr>
          <xdr:cNvPr id="28" name="TextBox 11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 txBox="1"/>
        </xdr:nvSpPr>
        <xdr:spPr>
          <a:xfrm>
            <a:off x="10382802" y="472334"/>
            <a:ext cx="870216" cy="408488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000" b="1"/>
              <a:t>Protection Relay</a:t>
            </a:r>
          </a:p>
        </xdr:txBody>
      </xdr:sp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52437" y="943431"/>
            <a:ext cx="1198470" cy="122312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0"/>
  <sheetViews>
    <sheetView tabSelected="1" zoomScaleNormal="100" workbookViewId="0">
      <selection activeCell="E12" sqref="E12"/>
    </sheetView>
  </sheetViews>
  <sheetFormatPr defaultColWidth="0" defaultRowHeight="14.4" zeroHeight="1" x14ac:dyDescent="0.3"/>
  <cols>
    <col min="1" max="1" width="3" customWidth="1"/>
    <col min="2" max="2" width="4.44140625" customWidth="1"/>
    <col min="3" max="3" width="14.6640625" style="35" customWidth="1"/>
    <col min="4" max="17" width="7.21875" style="35" customWidth="1"/>
    <col min="18" max="18" width="8.6640625" style="35" customWidth="1"/>
    <col min="19" max="19" width="9.21875" style="35" customWidth="1"/>
    <col min="20" max="20" width="9.44140625" style="35" customWidth="1"/>
    <col min="21" max="21" width="14" customWidth="1"/>
    <col min="22" max="22" width="4.44140625" customWidth="1"/>
    <col min="23" max="23" width="4.6640625" customWidth="1"/>
    <col min="24" max="16384" width="8.6640625" hidden="1"/>
  </cols>
  <sheetData>
    <row r="1" spans="2:22" ht="15" thickBot="1" x14ac:dyDescent="0.3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22" ht="5.55" customHeight="1" x14ac:dyDescent="0.3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24"/>
    </row>
    <row r="3" spans="2:22" ht="46.2" x14ac:dyDescent="0.3">
      <c r="B3" s="10"/>
      <c r="C3" s="30" t="s">
        <v>16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V3" s="25"/>
    </row>
    <row r="4" spans="2:22" x14ac:dyDescent="0.3">
      <c r="B4" s="10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V4" s="25"/>
    </row>
    <row r="5" spans="2:22" x14ac:dyDescent="0.3">
      <c r="B5" s="10"/>
      <c r="C5"/>
      <c r="D5" s="70" t="s">
        <v>14</v>
      </c>
      <c r="E5" s="70"/>
      <c r="F5" s="70"/>
      <c r="G5"/>
      <c r="H5"/>
      <c r="I5"/>
      <c r="J5"/>
      <c r="K5"/>
      <c r="L5"/>
      <c r="M5"/>
      <c r="N5"/>
      <c r="O5"/>
      <c r="P5"/>
      <c r="Q5"/>
      <c r="R5"/>
      <c r="S5"/>
      <c r="T5"/>
      <c r="V5" s="25"/>
    </row>
    <row r="6" spans="2:22" x14ac:dyDescent="0.3">
      <c r="B6" s="10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V6" s="25"/>
    </row>
    <row r="7" spans="2:22" ht="17.55" customHeight="1" x14ac:dyDescent="0.3">
      <c r="B7" s="10"/>
      <c r="C7"/>
      <c r="D7" s="11" t="s">
        <v>7</v>
      </c>
      <c r="E7" s="12">
        <v>120</v>
      </c>
      <c r="F7" s="13" t="s">
        <v>12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V7" s="25"/>
    </row>
    <row r="8" spans="2:22" ht="17.55" customHeight="1" x14ac:dyDescent="0.3">
      <c r="B8" s="10"/>
      <c r="C8"/>
      <c r="D8" s="11" t="s">
        <v>8</v>
      </c>
      <c r="E8" s="14">
        <v>0.7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V8" s="25"/>
    </row>
    <row r="9" spans="2:22" ht="17.55" customHeight="1" x14ac:dyDescent="0.3">
      <c r="B9" s="10"/>
      <c r="C9"/>
      <c r="D9" s="11" t="s">
        <v>9</v>
      </c>
      <c r="E9" s="14">
        <v>0.95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V9" s="25"/>
    </row>
    <row r="10" spans="2:22" ht="17.55" customHeight="1" x14ac:dyDescent="0.3">
      <c r="B10" s="10"/>
      <c r="C10"/>
      <c r="D10" s="11" t="s">
        <v>79</v>
      </c>
      <c r="E10" s="12">
        <v>100</v>
      </c>
      <c r="F10" s="13" t="s">
        <v>13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V10" s="25"/>
    </row>
    <row r="11" spans="2:22" ht="17.55" customHeight="1" x14ac:dyDescent="0.3">
      <c r="B11" s="10"/>
      <c r="C11"/>
      <c r="D11" s="11" t="s">
        <v>18</v>
      </c>
      <c r="E11" s="11" t="str">
        <f>CONCATENATE(J49," -")</f>
        <v>200 -</v>
      </c>
      <c r="F11" s="32">
        <f>J50</f>
        <v>250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V11" s="25"/>
    </row>
    <row r="12" spans="2:22" ht="17.55" customHeight="1" x14ac:dyDescent="0.3">
      <c r="B12" s="10"/>
      <c r="C12"/>
      <c r="D12" s="11" t="s">
        <v>58</v>
      </c>
      <c r="E12" s="58" t="s">
        <v>6</v>
      </c>
      <c r="F12" s="15" t="s">
        <v>0</v>
      </c>
      <c r="G12"/>
      <c r="H12" s="21"/>
      <c r="I12" s="31" t="s">
        <v>81</v>
      </c>
      <c r="J12"/>
      <c r="K12"/>
      <c r="L12"/>
      <c r="M12"/>
      <c r="N12"/>
      <c r="O12"/>
      <c r="P12"/>
      <c r="Q12"/>
      <c r="R12"/>
      <c r="S12"/>
      <c r="T12"/>
      <c r="V12" s="25"/>
    </row>
    <row r="13" spans="2:22" ht="17.55" customHeight="1" x14ac:dyDescent="0.3">
      <c r="B13" s="10"/>
      <c r="C13"/>
      <c r="D13" s="11" t="s">
        <v>59</v>
      </c>
      <c r="E13" s="12">
        <v>440</v>
      </c>
      <c r="F13" s="13" t="s">
        <v>61</v>
      </c>
      <c r="G13"/>
      <c r="H13"/>
      <c r="I13" s="80" t="s">
        <v>80</v>
      </c>
      <c r="J13" s="80"/>
      <c r="K13" s="80"/>
      <c r="L13" s="80"/>
      <c r="M13" s="80"/>
      <c r="N13" s="80"/>
      <c r="O13" s="80"/>
      <c r="P13" s="80"/>
      <c r="Q13" s="80"/>
      <c r="R13" s="80"/>
      <c r="S13" s="80"/>
      <c r="T13"/>
      <c r="V13" s="25"/>
    </row>
    <row r="14" spans="2:22" ht="17.55" customHeight="1" x14ac:dyDescent="0.3">
      <c r="B14" s="10"/>
      <c r="C14"/>
      <c r="D14" s="11" t="s">
        <v>60</v>
      </c>
      <c r="E14" s="12">
        <v>415</v>
      </c>
      <c r="F14" s="13" t="s">
        <v>61</v>
      </c>
      <c r="G14"/>
      <c r="H14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/>
      <c r="V14" s="25"/>
    </row>
    <row r="15" spans="2:22" ht="17.55" customHeight="1" x14ac:dyDescent="0.3">
      <c r="B15" s="10"/>
      <c r="C15"/>
      <c r="D15" s="11" t="s">
        <v>5</v>
      </c>
      <c r="E15" s="16" t="s">
        <v>6</v>
      </c>
      <c r="F15" s="13" t="str">
        <f>IF(E15="Auto","","kVar")</f>
        <v/>
      </c>
      <c r="G15"/>
      <c r="H15"/>
      <c r="I15" s="31" t="s">
        <v>19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/>
      <c r="V15" s="25"/>
    </row>
    <row r="16" spans="2:22" ht="17.55" customHeight="1" x14ac:dyDescent="0.3">
      <c r="B16" s="10"/>
      <c r="C16"/>
      <c r="D16" s="11" t="s">
        <v>10</v>
      </c>
      <c r="E16" s="16" t="s">
        <v>11</v>
      </c>
      <c r="F16" s="13" t="str">
        <f>IF(E16="None","","%")</f>
        <v/>
      </c>
      <c r="G16"/>
      <c r="H16"/>
      <c r="I16" s="80" t="s">
        <v>63</v>
      </c>
      <c r="J16" s="80"/>
      <c r="K16" s="80"/>
      <c r="L16" s="80"/>
      <c r="M16" s="80"/>
      <c r="N16" s="80"/>
      <c r="O16" s="80"/>
      <c r="P16" s="80"/>
      <c r="Q16" s="80"/>
      <c r="R16" s="80"/>
      <c r="S16" s="80"/>
      <c r="T16"/>
      <c r="V16" s="25"/>
    </row>
    <row r="17" spans="2:30" ht="17.55" customHeight="1" x14ac:dyDescent="0.3">
      <c r="B17" s="10"/>
      <c r="C17"/>
      <c r="D17" s="11"/>
      <c r="E17"/>
      <c r="F17" s="18"/>
      <c r="G17"/>
      <c r="H17" s="17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/>
      <c r="V17" s="25"/>
      <c r="Z17" t="s">
        <v>77</v>
      </c>
      <c r="AA17">
        <f>IF(L_pct = "None",0,L_pct)</f>
        <v>0</v>
      </c>
    </row>
    <row r="18" spans="2:30" ht="17.55" customHeight="1" x14ac:dyDescent="0.3">
      <c r="B18" s="10"/>
      <c r="C18"/>
      <c r="D18" s="11"/>
      <c r="E18"/>
      <c r="F18" s="68"/>
      <c r="G18"/>
      <c r="H18" s="17"/>
      <c r="I18" s="31" t="s">
        <v>52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/>
      <c r="V18" s="25"/>
      <c r="Z18" t="s">
        <v>75</v>
      </c>
      <c r="AA18">
        <v>25</v>
      </c>
    </row>
    <row r="19" spans="2:30" ht="17.55" customHeight="1" thickBot="1" x14ac:dyDescent="0.35">
      <c r="B19" s="10"/>
      <c r="C19"/>
      <c r="D19" s="11"/>
      <c r="E19"/>
      <c r="F19" s="18"/>
      <c r="G19"/>
      <c r="H19" s="17"/>
      <c r="I19" s="80" t="s">
        <v>64</v>
      </c>
      <c r="J19" s="80"/>
      <c r="K19" s="80"/>
      <c r="L19" s="80"/>
      <c r="M19" s="80"/>
      <c r="N19" s="80"/>
      <c r="O19" s="80"/>
      <c r="P19" s="80"/>
      <c r="Q19" s="80"/>
      <c r="R19" s="80"/>
      <c r="S19"/>
      <c r="T19"/>
      <c r="V19" s="25"/>
      <c r="Z19" t="s">
        <v>76</v>
      </c>
      <c r="AA19">
        <v>1.1499999999999999</v>
      </c>
    </row>
    <row r="20" spans="2:30" ht="21" customHeight="1" thickBot="1" x14ac:dyDescent="0.35">
      <c r="B20" s="10"/>
      <c r="C20" s="62"/>
      <c r="D20" s="59" t="s">
        <v>57</v>
      </c>
      <c r="E20" s="63">
        <f>CTval</f>
        <v>250</v>
      </c>
      <c r="F20" s="63" t="s">
        <v>0</v>
      </c>
      <c r="G20" s="64"/>
      <c r="H20" s="17"/>
      <c r="I20" s="80"/>
      <c r="J20" s="80"/>
      <c r="K20" s="80"/>
      <c r="L20" s="80"/>
      <c r="M20" s="80"/>
      <c r="N20" s="80"/>
      <c r="O20" s="80"/>
      <c r="P20" s="80"/>
      <c r="Q20" s="80"/>
      <c r="R20" s="80"/>
      <c r="T20" s="76" t="s">
        <v>47</v>
      </c>
      <c r="U20" s="77"/>
      <c r="V20" s="25"/>
    </row>
    <row r="21" spans="2:30" ht="21" customHeight="1" thickBot="1" x14ac:dyDescent="0.35">
      <c r="B21" s="10"/>
      <c r="C21" s="53"/>
      <c r="D21" s="59" t="s">
        <v>45</v>
      </c>
      <c r="E21" s="59">
        <f>F54</f>
        <v>93</v>
      </c>
      <c r="F21" s="60" t="s">
        <v>46</v>
      </c>
      <c r="G21" s="61" t="str">
        <f>CONCATENATE(Cap_Vr,"V")</f>
        <v>440V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T21" s="78" t="s">
        <v>48</v>
      </c>
      <c r="U21" s="79"/>
      <c r="V21" s="25"/>
      <c r="AB21" t="s">
        <v>65</v>
      </c>
      <c r="AC21">
        <v>2</v>
      </c>
      <c r="AD21" t="s">
        <v>66</v>
      </c>
    </row>
    <row r="22" spans="2:30" ht="15" thickBot="1" x14ac:dyDescent="0.35">
      <c r="B22" s="10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 s="33"/>
      <c r="T22" s="33"/>
      <c r="V22" s="25"/>
    </row>
    <row r="23" spans="2:30" s="20" customFormat="1" ht="17.55" customHeight="1" x14ac:dyDescent="0.3">
      <c r="B23" s="19"/>
      <c r="C23" s="74" t="s">
        <v>15</v>
      </c>
      <c r="D23" s="71" t="s">
        <v>51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3"/>
      <c r="R23" s="74" t="s">
        <v>3</v>
      </c>
      <c r="S23" s="74" t="s">
        <v>4</v>
      </c>
      <c r="T23" s="84" t="s">
        <v>20</v>
      </c>
      <c r="U23" s="82" t="s">
        <v>67</v>
      </c>
      <c r="V23" s="55"/>
      <c r="Y23" s="69" t="s">
        <v>53</v>
      </c>
      <c r="Z23" s="69" t="s">
        <v>54</v>
      </c>
      <c r="AA23" s="69" t="s">
        <v>49</v>
      </c>
      <c r="AB23" s="69" t="s">
        <v>62</v>
      </c>
    </row>
    <row r="24" spans="2:30" s="20" customFormat="1" ht="17.55" customHeight="1" thickBot="1" x14ac:dyDescent="0.35">
      <c r="B24" s="19"/>
      <c r="C24" s="75"/>
      <c r="D24" s="1">
        <v>1</v>
      </c>
      <c r="E24" s="2">
        <v>2</v>
      </c>
      <c r="F24" s="2">
        <v>3</v>
      </c>
      <c r="G24" s="2">
        <v>4</v>
      </c>
      <c r="H24" s="2">
        <v>5</v>
      </c>
      <c r="I24" s="2">
        <v>6</v>
      </c>
      <c r="J24" s="2">
        <v>7</v>
      </c>
      <c r="K24" s="2">
        <v>8</v>
      </c>
      <c r="L24" s="2">
        <v>9</v>
      </c>
      <c r="M24" s="2">
        <v>10</v>
      </c>
      <c r="N24" s="2">
        <v>11</v>
      </c>
      <c r="O24" s="2">
        <v>12</v>
      </c>
      <c r="P24" s="2">
        <v>13</v>
      </c>
      <c r="Q24" s="3">
        <v>14</v>
      </c>
      <c r="R24" s="75"/>
      <c r="S24" s="75"/>
      <c r="T24" s="85"/>
      <c r="U24" s="83"/>
      <c r="V24" s="55"/>
      <c r="Y24" s="69"/>
      <c r="Z24" s="69"/>
      <c r="AA24" s="69"/>
      <c r="AB24" s="69"/>
    </row>
    <row r="25" spans="2:30" s="20" customFormat="1" ht="17.55" customHeight="1" thickBot="1" x14ac:dyDescent="0.35">
      <c r="B25" s="19"/>
      <c r="C25" s="4" t="s">
        <v>68</v>
      </c>
      <c r="D25" s="41">
        <f>cap1st</f>
        <v>2.5</v>
      </c>
      <c r="E25" s="42">
        <f>IF(SUM(D25:D25)+D25&lt;=reqCapR,D25,IF(reqCapR&gt;=SUM(D25:D25)+D25/2,D25,0))</f>
        <v>2.5</v>
      </c>
      <c r="F25" s="42">
        <f>IF(SUM(D25:E25)+E25&lt;=reqCapR,E25,IF(reqCapR&gt;=SUM(D25:E25)+E25/2,E25,0))</f>
        <v>2.5</v>
      </c>
      <c r="G25" s="42">
        <f>IF(SUM(D25:F25)+F25&lt;=reqCapR,F25,IF(reqCapR&gt;=SUM(D25:F25)+F25/2,F25,0))</f>
        <v>2.5</v>
      </c>
      <c r="H25" s="42">
        <f>IF(SUM(D25:G25)+G25&lt;=reqCapR,G25,IF(reqCapR&gt;=SUM(D25:G25)+G25/2,G25,0))</f>
        <v>2.5</v>
      </c>
      <c r="I25" s="42">
        <f>IF(SUM(D25:H25)+H25&lt;=reqCapR,H25,IF(reqCapR&gt;=SUM(D25:H25)+H25/2,H25,0))</f>
        <v>2.5</v>
      </c>
      <c r="J25" s="42">
        <f>IF(SUM(D25:I25)+I25&lt;=reqCapR,I25,IF(reqCapR&gt;=SUM(D25:I25)+I25/2,I25,0))</f>
        <v>2.5</v>
      </c>
      <c r="K25" s="42">
        <f>IF(SUM(D25:J25)+J25&lt;=reqCapR,J25,IF(reqCapR&gt;=SUM(D25:J25)+J25/2,J25,0))</f>
        <v>2.5</v>
      </c>
      <c r="L25" s="42">
        <f>IF(SUM(D25:K25)+K25&lt;=reqCapR,K25,IF(reqCapR&gt;=SUM(D25:K25)+K25/2,K25,0))</f>
        <v>2.5</v>
      </c>
      <c r="M25" s="42">
        <f>IF(SUM(D25:L25)+L25&lt;=reqCapR,L25,IF(reqCapR&gt;=SUM(D25:L25)+L25/2,L25,0))</f>
        <v>2.5</v>
      </c>
      <c r="N25" s="42">
        <f>IF(SUM(D25:M25)+M25&lt;=reqCapR,M25,IF(reqCapR&gt;=SUM(D25:M25)+M25/2,M25,0))</f>
        <v>2.5</v>
      </c>
      <c r="O25" s="42">
        <f>IF(SUM(D25:N25)+N25&lt;=reqCapR,N25,IF(reqCapR&gt;=SUM(D25:N25)+N25/2,N25,0))</f>
        <v>2.5</v>
      </c>
      <c r="P25" s="42">
        <f>IF(SUM(D25:O25)+O25&lt;=reqCapR,O25,IF(reqCapR&gt;=SUM(D25:O25)+O25/2,O25,0))</f>
        <v>2.5</v>
      </c>
      <c r="Q25" s="43">
        <f>IF(SUM(D25:P25)+P25&lt;=reqCapR,P25,IF(reqCapR&gt;=SUM(D25:P25)+P25/2,P25,0))</f>
        <v>2.5</v>
      </c>
      <c r="R25" s="4">
        <f t="shared" ref="R25:R31" si="0">SUM(D25:Q25)</f>
        <v>35</v>
      </c>
      <c r="S25" s="6" t="str">
        <f t="shared" ref="S25:S31" si="1">IF(AND(R25&gt;=QLo13pct,R25&lt;=QHi13pct),R38,"---")</f>
        <v>---</v>
      </c>
      <c r="T25" s="7" t="str">
        <f t="shared" ref="T25" si="2">IF(S25="---","---",R25*1000*CapRatio/Net_Vll/SQRT(3))</f>
        <v>---</v>
      </c>
      <c r="U25" s="54" t="str">
        <f t="shared" ref="U25:U28" si="3">AB25</f>
        <v>---</v>
      </c>
      <c r="V25" s="55"/>
      <c r="Y25" s="57">
        <f t="shared" ref="Y25:Y30" si="4">INDEX(D25:Q25,0,R38)</f>
        <v>2.5</v>
      </c>
      <c r="Z25" s="57">
        <f t="shared" ref="Z25:Z31" si="5">ROUND(Y25*1000*CapRatio/Net_Vll/SQRT(3),2)</f>
        <v>3.09</v>
      </c>
      <c r="AA25" s="57">
        <f>IF(T25="---",0,INDEX(B58:B80,MATCH(T25*surgeFactor+deltaSize,B58:B80,-1),1))</f>
        <v>0</v>
      </c>
      <c r="AB25" s="57" t="str">
        <f>IF(AA25=0,"---",IF(AA25&lt;T25-Z25+Z25*CapSurgeAmpR,INDEX(B58:B80,MATCH(T25-Z25+Z25*CapSurgeAmpR,B58:B80,-1),1),AA25))</f>
        <v>---</v>
      </c>
      <c r="AC25" s="65" t="e">
        <f t="shared" ref="AC25:AC31" si="6">T25-Z25+Z25*CapSurgeAmpR</f>
        <v>#VALUE!</v>
      </c>
    </row>
    <row r="26" spans="2:30" s="20" customFormat="1" ht="17.55" customHeight="1" thickBot="1" x14ac:dyDescent="0.35">
      <c r="B26" s="19"/>
      <c r="C26" s="5" t="s">
        <v>69</v>
      </c>
      <c r="D26" s="44">
        <f t="shared" ref="D26:D31" si="7">cap1st</f>
        <v>2.5</v>
      </c>
      <c r="E26" s="45">
        <f>IF(SUM(D26:D26)+D26*2&lt;=reqCapR,D26*2,IF(reqCapR&gt;=SUM(D26:D26)+D26/2,D26*2,0))</f>
        <v>5</v>
      </c>
      <c r="F26" s="45">
        <f>IF(SUM(D26:E26)+E26&lt;=reqCapR,E26,IF(reqCapR&gt;=SUM(D26:E26)+E26/3,E26,0))</f>
        <v>5</v>
      </c>
      <c r="G26" s="45">
        <f>IF(SUM(D26:F26)+F26&lt;=reqCapR,F26,IF(reqCapR&gt;=SUM(D26:F26)+F26/3,F26,0))</f>
        <v>5</v>
      </c>
      <c r="H26" s="45">
        <f>IF(SUM(D26:G26)+G26&lt;=reqCapR,G26,IF(reqCapR&gt;=SUM(D26:G26)+G26/3,G26,0))</f>
        <v>5</v>
      </c>
      <c r="I26" s="45">
        <f t="shared" ref="I26:I31" si="8">IF(SUM(D26:H26)+H26&lt;=reqCapR,H26,IF(reqCapR&gt;=SUM(D26:H26)+H26/3,H26,0))</f>
        <v>5</v>
      </c>
      <c r="J26" s="45">
        <f t="shared" ref="J26:J31" si="9">IF(SUM(D26:I26)+I26&lt;=reqCapR,I26,IF(reqCapR&gt;=SUM(D26:I26)+I26/3,I26,0))</f>
        <v>5</v>
      </c>
      <c r="K26" s="45">
        <f>IF(SUM(D26:J26)+J26&lt;=reqCapR,J26,IF(reqCapR&gt;=SUM(D26:J26)+J26/4,J26,0))</f>
        <v>5</v>
      </c>
      <c r="L26" s="45">
        <f>IF(SUM(D26:K26)+K26&lt;=reqCapR,K26,IF(reqCapR&gt;=SUM(D26:K26)+K26/4,K26,0))</f>
        <v>5</v>
      </c>
      <c r="M26" s="45">
        <f>IF(SUM(D26:L26)+L26&lt;=reqCapR,L26,IF(reqCapR&gt;=SUM(D26:L26)+L26/4,L26,0))</f>
        <v>5</v>
      </c>
      <c r="N26" s="45">
        <f>IF(SUM(D26:M26)+M26&lt;=reqCapR,M26,IF(reqCapR&gt;=SUM(D26:M26)+M26/4,M26,0))</f>
        <v>5</v>
      </c>
      <c r="O26" s="45">
        <f>IF(SUM(D26:N26)+N26&lt;=reqCapR,N26,IF(reqCapR&gt;=SUM(D26:N26)+N26/4,N26,0))</f>
        <v>5</v>
      </c>
      <c r="P26" s="45">
        <f>IF(SUM(D26:O26)+O26&lt;=reqCapR,O26,IF(reqCapR&gt;=SUM(D26:O26)+O26/4,O26,0))</f>
        <v>5</v>
      </c>
      <c r="Q26" s="46">
        <f>IF(SUM(D26:P26)+P26&lt;=reqCapR,P26,IF(reqCapR&gt;=SUM(D26:P26)+P26/4,P26,0))</f>
        <v>5</v>
      </c>
      <c r="R26" s="5">
        <f t="shared" si="0"/>
        <v>67.5</v>
      </c>
      <c r="S26" s="6" t="str">
        <f t="shared" si="1"/>
        <v>---</v>
      </c>
      <c r="T26" s="7" t="str">
        <f t="shared" ref="T26:T31" si="10">IF(S26="---","---",R26*1000*CapRatio/Net_Vll/SQRT(3))</f>
        <v>---</v>
      </c>
      <c r="U26" s="54" t="str">
        <f t="shared" si="3"/>
        <v>---</v>
      </c>
      <c r="V26" s="55"/>
      <c r="Y26" s="57">
        <f t="shared" si="4"/>
        <v>5</v>
      </c>
      <c r="Z26" s="57">
        <f t="shared" si="5"/>
        <v>6.19</v>
      </c>
      <c r="AA26" s="57">
        <f>IF(T26="---",0,INDEX(B58:B80,MATCH(T26*surgeFactor+deltaSize,B58:B80,-1),1))</f>
        <v>0</v>
      </c>
      <c r="AB26" s="57" t="str">
        <f>IF(AA26=0,"---",IF(AA26&lt;T26-Z26+Z26*CapSurgeAmpR,INDEX(B59:B81,MATCH(T26-Z26+Z26*CapSurgeAmpR,B59:B81,-1),1),AA26))</f>
        <v>---</v>
      </c>
      <c r="AC26" s="65" t="e">
        <f t="shared" si="6"/>
        <v>#VALUE!</v>
      </c>
    </row>
    <row r="27" spans="2:30" s="20" customFormat="1" ht="17.55" customHeight="1" thickBot="1" x14ac:dyDescent="0.35">
      <c r="B27" s="19"/>
      <c r="C27" s="5" t="s">
        <v>70</v>
      </c>
      <c r="D27" s="44">
        <f t="shared" si="7"/>
        <v>2.5</v>
      </c>
      <c r="E27" s="45">
        <f>IF(SUM(D27:D27)+D27*2&lt;=reqCapR,D27*2,IF(reqCapR&gt;=SUM(D27:D27)+D27/2,D27*2,0))</f>
        <v>5</v>
      </c>
      <c r="F27" s="45">
        <f>IF(SUM(D27:E27)+E27*2&lt;=reqCapR,E27*2,IF(reqCapR&gt;=SUM(D27:E27)+E27/2,E27*2,0))</f>
        <v>10</v>
      </c>
      <c r="G27" s="45">
        <f>IF(SUM(D27:F27)+F27&lt;=reqCapR,F27,IF(reqCapR&gt;=SUM(D27:F27)+F27/3,F27,0))</f>
        <v>10</v>
      </c>
      <c r="H27" s="45">
        <f>IF(SUM(D27:G27)+G27&lt;=reqCapR,G27,IF(reqCapR&gt;=SUM(D27:G27)+G27/3,G27,0))</f>
        <v>10</v>
      </c>
      <c r="I27" s="45">
        <f t="shared" si="8"/>
        <v>10</v>
      </c>
      <c r="J27" s="45">
        <f t="shared" si="9"/>
        <v>10</v>
      </c>
      <c r="K27" s="45">
        <f>IF(SUM(D27:J27)+J27&lt;=reqCapR,J27,IF(reqCapR&gt;=SUM(D27:J27)+J27/3,J27,0))</f>
        <v>10</v>
      </c>
      <c r="L27" s="45">
        <f>IF(SUM(D27:K27)+K27&lt;=reqCapR,K27,IF(reqCapR&gt;=SUM(D27:K27)+K27/3,K27,0))</f>
        <v>10</v>
      </c>
      <c r="M27" s="45">
        <f>IF(SUM(D27:L27)+L27&lt;=reqCapR,L27,IF(reqCapR&gt;=SUM(D27:L27)+L27/3,L27,0))</f>
        <v>10</v>
      </c>
      <c r="N27" s="45">
        <f>IF(SUM(D27:M27)+M27&lt;=reqCapR,M27,IF(reqCapR&gt;=SUM(D27:M27)+M27/3,M27,0))</f>
        <v>10</v>
      </c>
      <c r="O27" s="45">
        <f>IF(SUM(D27:N27)+N27&lt;=reqCapR,N27,IF(reqCapR&gt;=SUM(D27:N27)+N27/3,N27,0))</f>
        <v>0</v>
      </c>
      <c r="P27" s="45">
        <f>IF(SUM(D27:O27)+O27&lt;=reqCapR,O27,IF(reqCapR&gt;=SUM(D27:O27)+O27/3,O27,0))</f>
        <v>0</v>
      </c>
      <c r="Q27" s="46">
        <f>IF(SUM(D27:P27)+P27&lt;=reqCapR,P27,IF(reqCapR&gt;=SUM(D27:P27)+P27/3,P27,0))</f>
        <v>0</v>
      </c>
      <c r="R27" s="5">
        <f t="shared" si="0"/>
        <v>97.5</v>
      </c>
      <c r="S27" s="6">
        <f t="shared" si="1"/>
        <v>11</v>
      </c>
      <c r="T27" s="7">
        <f t="shared" si="10"/>
        <v>120.66650447874605</v>
      </c>
      <c r="U27" s="54">
        <f t="shared" si="3"/>
        <v>200</v>
      </c>
      <c r="V27" s="55"/>
      <c r="Y27" s="57">
        <f t="shared" si="4"/>
        <v>10</v>
      </c>
      <c r="Z27" s="57">
        <f t="shared" si="5"/>
        <v>12.38</v>
      </c>
      <c r="AA27" s="57">
        <f>IF(T27="---",0,INDEX(B58:B80,MATCH(T27*surgeFactor+deltaSize,B58:B80,-1),1))</f>
        <v>200</v>
      </c>
      <c r="AB27" s="57">
        <f>IF(AA27=0,"---",IF(AA27&lt;T27-Z27+Z27*CapSurgeAmpR,INDEX(B60:B82,MATCH(T27-Z27+Z27*CapSurgeAmpR,B60:B82,-1),1),AA27))</f>
        <v>200</v>
      </c>
      <c r="AC27" s="65">
        <f t="shared" si="6"/>
        <v>133.04650447874604</v>
      </c>
    </row>
    <row r="28" spans="2:30" s="20" customFormat="1" ht="17.55" customHeight="1" thickBot="1" x14ac:dyDescent="0.35">
      <c r="B28" s="19"/>
      <c r="C28" s="5" t="s">
        <v>71</v>
      </c>
      <c r="D28" s="44">
        <f t="shared" si="7"/>
        <v>2.5</v>
      </c>
      <c r="E28" s="45">
        <f>IF(SUM(D28:D28)+D28&lt;=reqCapR,D28,IF(reqCapR&gt;=SUM(D28:D28)+D28/2,D28,0))</f>
        <v>2.5</v>
      </c>
      <c r="F28" s="45">
        <f>IF(SUM(D28:E28)+E28*2&lt;=reqCapR,E28*2,IF(reqCapR&gt;=SUM(D28:E28)+E28/2,E28*2,0))</f>
        <v>5</v>
      </c>
      <c r="G28" s="45">
        <f>IF(SUM(D28:F28)+F28&lt;=reqCapR,F28,IF(reqCapR&gt;=SUM(D28:F28)+F28/3,F28,0))</f>
        <v>5</v>
      </c>
      <c r="H28" s="45">
        <f>IF(SUM(D28:G28)+G28&lt;=reqCapR,G28,IF(reqCapR&gt;=SUM(D28:G28)+G28/3,G28,0))</f>
        <v>5</v>
      </c>
      <c r="I28" s="45">
        <f t="shared" si="8"/>
        <v>5</v>
      </c>
      <c r="J28" s="45">
        <f t="shared" si="9"/>
        <v>5</v>
      </c>
      <c r="K28" s="45">
        <f>IF(SUM(D28:J28)+J28&lt;=reqCapR,J28,IF(reqCapR&gt;=SUM(D28:J28)+J28/4,J28,0))</f>
        <v>5</v>
      </c>
      <c r="L28" s="45">
        <f>IF(SUM(D28:K28)+K28&lt;=reqCapR,K28,IF(reqCapR&gt;=SUM(D28:K28)+K28/4,K28,0))</f>
        <v>5</v>
      </c>
      <c r="M28" s="45">
        <f>IF(SUM(D28:L28)+L28&lt;=reqCapR,L28,IF(reqCapR&gt;=SUM(D28:L28)+L28/4,L28,0))</f>
        <v>5</v>
      </c>
      <c r="N28" s="45">
        <f>IF(SUM(D28:M28)+M28&lt;=reqCapR,M28,IF(reqCapR&gt;=SUM(D28:M28)+M28/4,M28,0))</f>
        <v>5</v>
      </c>
      <c r="O28" s="45">
        <f>IF(SUM(D28:N28)+N28&lt;=reqCapR,N28,IF(reqCapR&gt;=SUM(D28:N28)+N28/4,N28,0))</f>
        <v>5</v>
      </c>
      <c r="P28" s="45">
        <f>IF(SUM(D28:O28)+O28&lt;=reqCapR,O28,IF(reqCapR&gt;=SUM(D28:O28)+O28/4,O28,0))</f>
        <v>5</v>
      </c>
      <c r="Q28" s="46">
        <f>IF(SUM(D28:P28)+P28&lt;=reqCapR,P28,IF(reqCapR&gt;=SUM(D28:P28)+P28/4,P28,0))</f>
        <v>5</v>
      </c>
      <c r="R28" s="5">
        <f t="shared" si="0"/>
        <v>65</v>
      </c>
      <c r="S28" s="6" t="str">
        <f t="shared" si="1"/>
        <v>---</v>
      </c>
      <c r="T28" s="7" t="str">
        <f t="shared" si="10"/>
        <v>---</v>
      </c>
      <c r="U28" s="54" t="str">
        <f t="shared" si="3"/>
        <v>---</v>
      </c>
      <c r="V28" s="55"/>
      <c r="Y28" s="57">
        <f t="shared" si="4"/>
        <v>5</v>
      </c>
      <c r="Z28" s="57">
        <f t="shared" si="5"/>
        <v>6.19</v>
      </c>
      <c r="AA28" s="57">
        <f>IF(T28="---",0,INDEX(B58:B80,MATCH(T28*surgeFactor+deltaSize,B58:B80,-1),1))</f>
        <v>0</v>
      </c>
      <c r="AB28" s="57" t="str">
        <f>IF(AA28=0,"---",IF(AA28&lt;T28-Z28+Z28*CapSurgeAmpR,INDEX(B61:B83,MATCH(T28-Z28+Z28*CapSurgeAmpR,B61:B83,-1),1),AA28))</f>
        <v>---</v>
      </c>
      <c r="AC28" s="65" t="e">
        <f t="shared" si="6"/>
        <v>#VALUE!</v>
      </c>
    </row>
    <row r="29" spans="2:30" s="20" customFormat="1" ht="17.55" customHeight="1" thickBot="1" x14ac:dyDescent="0.35">
      <c r="B29" s="19"/>
      <c r="C29" s="5" t="s">
        <v>73</v>
      </c>
      <c r="D29" s="44">
        <f t="shared" si="7"/>
        <v>2.5</v>
      </c>
      <c r="E29" s="45">
        <f>IF(SUM(D29:D29)+D29&lt;=reqCapR,D29,IF(reqCapR&gt;=SUM(D29:D29)+D29/2,D29,0))</f>
        <v>2.5</v>
      </c>
      <c r="F29" s="45">
        <f>IF(SUM(D29:E29)+E29*2&lt;=reqCapR,E29*2,IF(reqCapR&gt;=SUM(D29:E29)+E29/2,E29*2,0))</f>
        <v>5</v>
      </c>
      <c r="G29" s="45">
        <f>IF(SUM(D29:F29)+F29&lt;=reqCapR,F29,IF(reqCapR&gt;=SUM(D29:F29)+F29/3,F29,0))</f>
        <v>5</v>
      </c>
      <c r="H29" s="45">
        <f>IF(SUM(D29:G29)+G29*2&lt;=reqCapR,G29*2,IF(reqCapR&gt;=SUM(D29:G29)+G29/2,G29*2,0))</f>
        <v>10</v>
      </c>
      <c r="I29" s="45">
        <f>IF(SUM(D29:H29)+H29&lt;=reqCapR,H29,IF(reqCapR&gt;=SUM(D29:H29)+H29/3,H29,0))</f>
        <v>10</v>
      </c>
      <c r="J29" s="45">
        <f>IF(SUM(D29:I29)+I29&lt;=reqCapR,I29,IF(reqCapR&gt;=SUM(D29:I29)+I29/3,I29,0))</f>
        <v>10</v>
      </c>
      <c r="K29" s="45">
        <f>IF(SUM(D29:J29)+J29&lt;=reqCapR,J29,IF(reqCapR&gt;=SUM(D29:J29)+J29/3,J29,0))</f>
        <v>10</v>
      </c>
      <c r="L29" s="45">
        <f>IF(SUM(D29:K29)+K29&lt;=reqCapR,K29,IF(reqCapR&gt;=SUM(D29:K29)+K29/3,K29,0))</f>
        <v>10</v>
      </c>
      <c r="M29" s="45">
        <f>IF(SUM(D29:L29)+L29&lt;=reqCapR,L29,IF(reqCapR&gt;=SUM(D29:L29)+L29/3,L29,0))</f>
        <v>10</v>
      </c>
      <c r="N29" s="45">
        <f>IF(SUM(D29:M29)+M29&lt;=reqCapR,M29,IF(reqCapR&gt;=SUM(D29:M29)+M29/3,M29,0))</f>
        <v>10</v>
      </c>
      <c r="O29" s="45">
        <f>IF(SUM(D29:N29)+N29&lt;=reqCapR,N29,IF(reqCapR&gt;=SUM(D29:N29)+N29/3,N29,0))</f>
        <v>10</v>
      </c>
      <c r="P29" s="45">
        <f>IF(SUM(D29:O29)+O29&lt;=reqCapR,O29,IF(reqCapR&gt;=SUM(D29:O29)+O29/3,O29,0))</f>
        <v>0</v>
      </c>
      <c r="Q29" s="46">
        <f>IF(SUM(D29:P29)+P29&lt;=reqCapR,P29,IF(reqCapR&gt;=SUM(D29:P29)+P29/3,P29,0))</f>
        <v>0</v>
      </c>
      <c r="R29" s="5">
        <f>SUM(D29:Q29)</f>
        <v>95</v>
      </c>
      <c r="S29" s="6">
        <f t="shared" si="1"/>
        <v>12</v>
      </c>
      <c r="T29" s="7">
        <f t="shared" si="10"/>
        <v>117.5724915433936</v>
      </c>
      <c r="U29" s="54">
        <f>AB29</f>
        <v>200</v>
      </c>
      <c r="V29" s="55"/>
      <c r="Y29" s="57">
        <f t="shared" si="4"/>
        <v>10</v>
      </c>
      <c r="Z29" s="57">
        <f>ROUND(Y29*1000*CapRatio/Net_Vll/SQRT(3),2)</f>
        <v>12.38</v>
      </c>
      <c r="AA29" s="57">
        <f>IF(T29="---",0,INDEX(B58:B80,MATCH(T29*surgeFactor+deltaSize,B58:B80,-1),1))</f>
        <v>200</v>
      </c>
      <c r="AB29" s="57">
        <f>IF(AA29=0,"---",IF(AA29&lt;T29-Z29+Z29*CapSurgeAmpR,INDEX(B63:B85,MATCH(T29-Z29+Z29*CapSurgeAmpR,B63:B85,-1),1),AA29))</f>
        <v>200</v>
      </c>
      <c r="AC29" s="65">
        <f>T29-Z29+Z29*CapSurgeAmpR</f>
        <v>129.95249154339359</v>
      </c>
    </row>
    <row r="30" spans="2:30" s="20" customFormat="1" ht="17.55" customHeight="1" thickBot="1" x14ac:dyDescent="0.35">
      <c r="B30" s="19"/>
      <c r="C30" s="5" t="s">
        <v>72</v>
      </c>
      <c r="D30" s="44">
        <f t="shared" si="7"/>
        <v>2.5</v>
      </c>
      <c r="E30" s="45">
        <f>IF(SUM(D30:D30)+D30&lt;=reqCapR,D30,IF(reqCapR&gt;=SUM(D30:D30)+D30/2,D30,0))</f>
        <v>2.5</v>
      </c>
      <c r="F30" s="45">
        <f>IF(SUM(D30:E30)+E30&lt;=reqCapR,E30,IF(reqCapR&gt;=SUM(D30:E30)+E30/2,E30,0))</f>
        <v>2.5</v>
      </c>
      <c r="G30" s="45">
        <f>IF(SUM(D30:F30)+F30*2&lt;=reqCapR,F30*2,IF(reqCapR&gt;=SUM(D30:F30)+F30/2,F30*2,0))</f>
        <v>5</v>
      </c>
      <c r="H30" s="45">
        <f>IF(SUM(D30:G30)+G30&lt;=reqCapR,G30,IF(reqCapR&gt;=SUM(D30:G30)+G30/3,G30,0))</f>
        <v>5</v>
      </c>
      <c r="I30" s="45">
        <f>IF(SUM(D30:H30)+H30&lt;=reqCapR,H30,IF(reqCapR&gt;=SUM(D30:H30)+H30/3,H30,0))</f>
        <v>5</v>
      </c>
      <c r="J30" s="45">
        <f>IF(SUM(D30:I30)+I30&lt;=reqCapR,I30,IF(reqCapR&gt;=SUM(D30:I30)+I30/3,I30,0))</f>
        <v>5</v>
      </c>
      <c r="K30" s="45">
        <f>IF(SUM(D30:J30)+J30&lt;=reqCapR,J30,IF(reqCapR&gt;=SUM(D30:J30)+J30/3,J30,0))</f>
        <v>5</v>
      </c>
      <c r="L30" s="45">
        <f>IF(SUM(D30:K30)+K30&lt;=reqCapR,K30,IF(reqCapR&gt;=SUM(D30:K30)+K30/3,K30,0))</f>
        <v>5</v>
      </c>
      <c r="M30" s="45">
        <f>IF(SUM(D30:L30)+L30&lt;=reqCapR,L30,IF(reqCapR&gt;=SUM(D30:L30)+L30/3,L30,0))</f>
        <v>5</v>
      </c>
      <c r="N30" s="45">
        <f>IF(SUM(D30:M30)+M30&lt;=reqCapR,M30,IF(reqCapR&gt;=SUM(D30:M30)+M30/3,M30,0))</f>
        <v>5</v>
      </c>
      <c r="O30" s="45">
        <f>IF(SUM(D30:N30)+N30&lt;=reqCapR,N30,IF(reqCapR&gt;=SUM(D30:N30)+N30/3,N30,0))</f>
        <v>5</v>
      </c>
      <c r="P30" s="45">
        <f>IF(SUM(D30:O30)+O30&lt;=reqCapR,O30,IF(reqCapR&gt;=SUM(D30:O30)+O30/3,O30,0))</f>
        <v>5</v>
      </c>
      <c r="Q30" s="46">
        <f>IF(SUM(D30:P30)+P30&lt;=reqCapR,P30,IF(reqCapR&gt;=SUM(D30:P30)+P30/3,P30,0))</f>
        <v>5</v>
      </c>
      <c r="R30" s="5">
        <f>SUM(D30:Q30)</f>
        <v>62.5</v>
      </c>
      <c r="S30" s="6" t="str">
        <f t="shared" si="1"/>
        <v>---</v>
      </c>
      <c r="T30" s="7" t="str">
        <f t="shared" si="10"/>
        <v>---</v>
      </c>
      <c r="U30" s="54" t="str">
        <f>AB30</f>
        <v>---</v>
      </c>
      <c r="V30" s="55"/>
      <c r="Y30" s="57">
        <f t="shared" si="4"/>
        <v>5</v>
      </c>
      <c r="Z30" s="57">
        <f>ROUND(Y30*1000*CapRatio/Net_Vll/SQRT(3),2)</f>
        <v>6.19</v>
      </c>
      <c r="AA30" s="57">
        <f>IF(T30="---",0,INDEX(B58:B80,MATCH(T30*surgeFactor+deltaSize,B58:B80,-1),1))</f>
        <v>0</v>
      </c>
      <c r="AB30" s="57" t="str">
        <f>IF(AA30=0,"---",IF(AA30&lt;T30-Z30+Z30*CapSurgeAmpR,INDEX(B62:B84,MATCH(T30-Z30+Z30*CapSurgeAmpR,B62:B84,-1),1),AA30))</f>
        <v>---</v>
      </c>
      <c r="AC30" s="65" t="e">
        <f>T30-Z30+Z30*CapSurgeAmpR</f>
        <v>#VALUE!</v>
      </c>
    </row>
    <row r="31" spans="2:30" s="20" customFormat="1" ht="17.55" customHeight="1" thickBot="1" x14ac:dyDescent="0.35">
      <c r="B31" s="19"/>
      <c r="C31" s="5" t="s">
        <v>74</v>
      </c>
      <c r="D31" s="47">
        <f t="shared" si="7"/>
        <v>2.5</v>
      </c>
      <c r="E31" s="48">
        <f>IF(SUM(D31:D31)+D31*2&lt;=reqCapR,D31*2,IF(reqCapR&gt;=SUM(D31:D31)+D31/2,D31*2,0))</f>
        <v>5</v>
      </c>
      <c r="F31" s="48">
        <f>IF(SUM(D31:E31)+E31*2&lt;=reqCapR,E31*2,IF(reqCapR&gt;=SUM(D31:E31)+E31/2,E31*2,0))</f>
        <v>10</v>
      </c>
      <c r="G31" s="48">
        <f>IF(SUM(D31:F31)+F31*2&lt;=reqCapR,F31*2,IF(reqCapR&gt;=SUM(D31:F31)+F31/2,F31*2,0))</f>
        <v>20</v>
      </c>
      <c r="H31" s="48">
        <f>IF(SUM(D31:G31)+G31&lt;=reqCapR,G31,IF(reqCapR&gt;=SUM(D31:G31)+G31/3,G31,0))</f>
        <v>20</v>
      </c>
      <c r="I31" s="48">
        <f t="shared" si="8"/>
        <v>20</v>
      </c>
      <c r="J31" s="48">
        <f t="shared" si="9"/>
        <v>20</v>
      </c>
      <c r="K31" s="48">
        <f>IF(SUM(D31:J31)+J31&lt;=reqCapR,J31,IF(reqCapR&gt;=SUM(D31:J31)+J31/3,J31,0))</f>
        <v>0</v>
      </c>
      <c r="L31" s="48">
        <f>IF(SUM(D31:K31)+K31&lt;=reqCapR,K31,IF(reqCapR&gt;=SUM(D31:K31)+K31/3,K31,0))</f>
        <v>0</v>
      </c>
      <c r="M31" s="48">
        <f>IF(SUM(D31:L31)+L31&lt;=reqCapR,L31,IF(reqCapR&gt;=SUM(D31:L31)+L31/3,L31,0))</f>
        <v>0</v>
      </c>
      <c r="N31" s="48">
        <f>IF(SUM(D31:M31)+M31&lt;=reqCapR,M31,IF(reqCapR&gt;=SUM(D31:M31)+M31/3,M31,0))</f>
        <v>0</v>
      </c>
      <c r="O31" s="48">
        <f>IF(SUM(D31:N31)+N31&lt;=reqCapR,N31,IF(reqCapR&gt;=SUM(D31:N31)+N31/3,N31,0))</f>
        <v>0</v>
      </c>
      <c r="P31" s="48">
        <f>IF(SUM(D31:O31)+O31&lt;=reqCapR,O31,IF(reqCapR&gt;=SUM(D31:O31)+O31/3,O31,0))</f>
        <v>0</v>
      </c>
      <c r="Q31" s="49">
        <f>IF(SUM(D31:P31)+P31&lt;=reqCapR,P31,IF(reqCapR&gt;=SUM(D31:P31)+P31/3,P31,0))</f>
        <v>0</v>
      </c>
      <c r="R31" s="6">
        <f t="shared" si="0"/>
        <v>97.5</v>
      </c>
      <c r="S31" s="6">
        <f t="shared" si="1"/>
        <v>7</v>
      </c>
      <c r="T31" s="7">
        <f t="shared" si="10"/>
        <v>120.66650447874605</v>
      </c>
      <c r="U31" s="54">
        <f t="shared" ref="U31" si="11">AB31</f>
        <v>200</v>
      </c>
      <c r="V31" s="55"/>
      <c r="Y31" s="57">
        <f t="shared" ref="Y31" si="12">INDEX(D31:Q31,0,R44)</f>
        <v>20</v>
      </c>
      <c r="Z31" s="57">
        <f t="shared" si="5"/>
        <v>24.75</v>
      </c>
      <c r="AA31" s="57">
        <f>IF(T31="---",0,INDEX(B58:B80,MATCH(T31*surgeFactor+deltaSize,B58:B80,-1),1))</f>
        <v>200</v>
      </c>
      <c r="AB31" s="57">
        <f t="shared" ref="AB31" si="13">IF(AA31=0,"---",IF(AA31&lt;T31-Z31+Z31*CapSurgeAmpR,INDEX(B64:B86,MATCH(T31-Z31+Z31*CapSurgeAmpR,B64:B86,-1),1),AA31))</f>
        <v>200</v>
      </c>
      <c r="AC31" s="65">
        <f t="shared" si="6"/>
        <v>145.41650447874605</v>
      </c>
    </row>
    <row r="32" spans="2:30" ht="25.05" customHeight="1" thickBot="1" x14ac:dyDescent="0.35"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8"/>
      <c r="T32" s="28"/>
      <c r="U32" s="28"/>
      <c r="V32" s="29"/>
    </row>
    <row r="33" spans="1:21" ht="17.100000000000001" customHeight="1" x14ac:dyDescent="0.3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/>
      <c r="T33"/>
    </row>
    <row r="34" spans="1:21" s="35" customFormat="1" ht="35.549999999999997" customHeight="1" x14ac:dyDescent="0.3">
      <c r="A34"/>
      <c r="B34" s="34" t="s">
        <v>21</v>
      </c>
      <c r="C34" s="81" t="s">
        <v>50</v>
      </c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U34" s="56" t="s">
        <v>78</v>
      </c>
    </row>
    <row r="35" spans="1:21" ht="14.55" customHeight="1" x14ac:dyDescent="0.3"/>
    <row r="36" spans="1:21" ht="14.55" hidden="1" customHeight="1" x14ac:dyDescent="0.3">
      <c r="A36" s="23" t="s">
        <v>2</v>
      </c>
      <c r="B36" s="23"/>
    </row>
    <row r="37" spans="1:21" ht="14.55" hidden="1" customHeight="1" x14ac:dyDescent="0.3">
      <c r="A37" s="23" t="s">
        <v>6</v>
      </c>
      <c r="B37" s="23"/>
    </row>
    <row r="38" spans="1:21" ht="14.55" hidden="1" customHeight="1" x14ac:dyDescent="0.3">
      <c r="A38" s="23">
        <v>2.5</v>
      </c>
      <c r="B38" s="21">
        <v>100</v>
      </c>
      <c r="C38" s="38" t="s">
        <v>28</v>
      </c>
      <c r="D38" s="40">
        <f t="shared" ref="D38:Q38" si="14">IF(D25&gt;0,1,0)</f>
        <v>1</v>
      </c>
      <c r="E38" s="40">
        <f t="shared" si="14"/>
        <v>1</v>
      </c>
      <c r="F38" s="40">
        <f t="shared" si="14"/>
        <v>1</v>
      </c>
      <c r="G38" s="40">
        <f t="shared" si="14"/>
        <v>1</v>
      </c>
      <c r="H38" s="40">
        <f t="shared" si="14"/>
        <v>1</v>
      </c>
      <c r="I38" s="40">
        <f t="shared" si="14"/>
        <v>1</v>
      </c>
      <c r="J38" s="40">
        <f t="shared" si="14"/>
        <v>1</v>
      </c>
      <c r="K38" s="40">
        <f t="shared" si="14"/>
        <v>1</v>
      </c>
      <c r="L38" s="40">
        <f t="shared" si="14"/>
        <v>1</v>
      </c>
      <c r="M38" s="40">
        <f t="shared" si="14"/>
        <v>1</v>
      </c>
      <c r="N38" s="40">
        <f t="shared" si="14"/>
        <v>1</v>
      </c>
      <c r="O38" s="40">
        <f t="shared" si="14"/>
        <v>1</v>
      </c>
      <c r="P38" s="40">
        <f t="shared" si="14"/>
        <v>1</v>
      </c>
      <c r="Q38" s="40">
        <f t="shared" si="14"/>
        <v>1</v>
      </c>
      <c r="R38" s="40">
        <f>SUM(D38:Q38)</f>
        <v>14</v>
      </c>
    </row>
    <row r="39" spans="1:21" ht="14.55" hidden="1" customHeight="1" x14ac:dyDescent="0.3">
      <c r="A39" s="23">
        <v>5</v>
      </c>
      <c r="B39" s="21">
        <v>80</v>
      </c>
      <c r="C39" s="38" t="s">
        <v>29</v>
      </c>
      <c r="D39" s="40">
        <f t="shared" ref="D39:Q39" si="15">IF(D26&gt;0,1,0)</f>
        <v>1</v>
      </c>
      <c r="E39" s="40">
        <f t="shared" si="15"/>
        <v>1</v>
      </c>
      <c r="F39" s="40">
        <f t="shared" si="15"/>
        <v>1</v>
      </c>
      <c r="G39" s="40">
        <f t="shared" si="15"/>
        <v>1</v>
      </c>
      <c r="H39" s="40">
        <f t="shared" si="15"/>
        <v>1</v>
      </c>
      <c r="I39" s="40">
        <f t="shared" si="15"/>
        <v>1</v>
      </c>
      <c r="J39" s="40">
        <f t="shared" si="15"/>
        <v>1</v>
      </c>
      <c r="K39" s="40">
        <f t="shared" si="15"/>
        <v>1</v>
      </c>
      <c r="L39" s="40">
        <f t="shared" si="15"/>
        <v>1</v>
      </c>
      <c r="M39" s="40">
        <f t="shared" si="15"/>
        <v>1</v>
      </c>
      <c r="N39" s="40">
        <f t="shared" si="15"/>
        <v>1</v>
      </c>
      <c r="O39" s="40">
        <f t="shared" si="15"/>
        <v>1</v>
      </c>
      <c r="P39" s="40">
        <f t="shared" si="15"/>
        <v>1</v>
      </c>
      <c r="Q39" s="40">
        <f t="shared" si="15"/>
        <v>1</v>
      </c>
      <c r="R39" s="40">
        <f t="shared" ref="R39:R44" si="16">SUM(D39:Q39)</f>
        <v>14</v>
      </c>
    </row>
    <row r="40" spans="1:21" ht="14.55" hidden="1" customHeight="1" x14ac:dyDescent="0.3">
      <c r="A40" s="23">
        <v>10</v>
      </c>
      <c r="B40" s="23">
        <v>60</v>
      </c>
      <c r="C40" s="38" t="s">
        <v>30</v>
      </c>
      <c r="D40" s="40">
        <f t="shared" ref="D40:Q40" si="17">IF(D27&gt;0,1,0)</f>
        <v>1</v>
      </c>
      <c r="E40" s="40">
        <f t="shared" si="17"/>
        <v>1</v>
      </c>
      <c r="F40" s="40">
        <f t="shared" si="17"/>
        <v>1</v>
      </c>
      <c r="G40" s="40">
        <f t="shared" si="17"/>
        <v>1</v>
      </c>
      <c r="H40" s="40">
        <f t="shared" si="17"/>
        <v>1</v>
      </c>
      <c r="I40" s="40">
        <f t="shared" si="17"/>
        <v>1</v>
      </c>
      <c r="J40" s="40">
        <f t="shared" si="17"/>
        <v>1</v>
      </c>
      <c r="K40" s="40">
        <f t="shared" si="17"/>
        <v>1</v>
      </c>
      <c r="L40" s="40">
        <f t="shared" si="17"/>
        <v>1</v>
      </c>
      <c r="M40" s="40">
        <f t="shared" si="17"/>
        <v>1</v>
      </c>
      <c r="N40" s="40">
        <f t="shared" si="17"/>
        <v>1</v>
      </c>
      <c r="O40" s="40">
        <f t="shared" si="17"/>
        <v>0</v>
      </c>
      <c r="P40" s="40">
        <f t="shared" si="17"/>
        <v>0</v>
      </c>
      <c r="Q40" s="40">
        <f t="shared" si="17"/>
        <v>0</v>
      </c>
      <c r="R40" s="40">
        <f t="shared" si="16"/>
        <v>11</v>
      </c>
    </row>
    <row r="41" spans="1:21" ht="14.55" hidden="1" customHeight="1" x14ac:dyDescent="0.3">
      <c r="A41" s="23">
        <v>15</v>
      </c>
      <c r="B41" s="23">
        <v>50</v>
      </c>
      <c r="C41" s="38" t="s">
        <v>31</v>
      </c>
      <c r="D41" s="40">
        <f t="shared" ref="D41:Q41" si="18">IF(D28&gt;0,1,0)</f>
        <v>1</v>
      </c>
      <c r="E41" s="40">
        <f t="shared" si="18"/>
        <v>1</v>
      </c>
      <c r="F41" s="40">
        <f t="shared" si="18"/>
        <v>1</v>
      </c>
      <c r="G41" s="40">
        <f t="shared" si="18"/>
        <v>1</v>
      </c>
      <c r="H41" s="40">
        <f t="shared" si="18"/>
        <v>1</v>
      </c>
      <c r="I41" s="40">
        <f t="shared" si="18"/>
        <v>1</v>
      </c>
      <c r="J41" s="40">
        <f t="shared" si="18"/>
        <v>1</v>
      </c>
      <c r="K41" s="40">
        <f t="shared" si="18"/>
        <v>1</v>
      </c>
      <c r="L41" s="40">
        <f t="shared" si="18"/>
        <v>1</v>
      </c>
      <c r="M41" s="40">
        <f t="shared" si="18"/>
        <v>1</v>
      </c>
      <c r="N41" s="40">
        <f t="shared" si="18"/>
        <v>1</v>
      </c>
      <c r="O41" s="40">
        <f t="shared" si="18"/>
        <v>1</v>
      </c>
      <c r="P41" s="40">
        <f t="shared" si="18"/>
        <v>1</v>
      </c>
      <c r="Q41" s="40">
        <f t="shared" si="18"/>
        <v>1</v>
      </c>
      <c r="R41" s="40">
        <f t="shared" si="16"/>
        <v>14</v>
      </c>
    </row>
    <row r="42" spans="1:21" ht="14.55" hidden="1" customHeight="1" x14ac:dyDescent="0.3">
      <c r="A42" s="23">
        <v>20</v>
      </c>
      <c r="B42" s="23">
        <v>40</v>
      </c>
      <c r="C42" s="38" t="s">
        <v>32</v>
      </c>
      <c r="D42" s="40">
        <f>IF(D29&gt;0,1,0)</f>
        <v>1</v>
      </c>
      <c r="E42" s="40">
        <f t="shared" ref="E42:Q42" si="19">IF(E29&gt;0,1,0)</f>
        <v>1</v>
      </c>
      <c r="F42" s="40">
        <f t="shared" si="19"/>
        <v>1</v>
      </c>
      <c r="G42" s="40">
        <f t="shared" si="19"/>
        <v>1</v>
      </c>
      <c r="H42" s="40">
        <f t="shared" si="19"/>
        <v>1</v>
      </c>
      <c r="I42" s="40">
        <f t="shared" si="19"/>
        <v>1</v>
      </c>
      <c r="J42" s="40">
        <f t="shared" si="19"/>
        <v>1</v>
      </c>
      <c r="K42" s="40">
        <f t="shared" si="19"/>
        <v>1</v>
      </c>
      <c r="L42" s="40">
        <f t="shared" si="19"/>
        <v>1</v>
      </c>
      <c r="M42" s="40">
        <f t="shared" si="19"/>
        <v>1</v>
      </c>
      <c r="N42" s="40">
        <f t="shared" si="19"/>
        <v>1</v>
      </c>
      <c r="O42" s="40">
        <f t="shared" si="19"/>
        <v>1</v>
      </c>
      <c r="P42" s="40">
        <f t="shared" si="19"/>
        <v>0</v>
      </c>
      <c r="Q42" s="40">
        <f t="shared" si="19"/>
        <v>0</v>
      </c>
      <c r="R42" s="40">
        <f t="shared" si="16"/>
        <v>12</v>
      </c>
    </row>
    <row r="43" spans="1:21" ht="14.55" hidden="1" customHeight="1" x14ac:dyDescent="0.3">
      <c r="A43" s="23">
        <v>25</v>
      </c>
      <c r="B43" s="23">
        <v>30</v>
      </c>
      <c r="C43" s="38" t="s">
        <v>33</v>
      </c>
      <c r="D43" s="40">
        <f>IF(D30&gt;0,1,0)</f>
        <v>1</v>
      </c>
      <c r="E43" s="40">
        <f t="shared" ref="E43:Q43" si="20">IF(E30&gt;0,1,0)</f>
        <v>1</v>
      </c>
      <c r="F43" s="40">
        <f t="shared" si="20"/>
        <v>1</v>
      </c>
      <c r="G43" s="40">
        <f t="shared" si="20"/>
        <v>1</v>
      </c>
      <c r="H43" s="40">
        <f t="shared" si="20"/>
        <v>1</v>
      </c>
      <c r="I43" s="40">
        <f t="shared" si="20"/>
        <v>1</v>
      </c>
      <c r="J43" s="40">
        <f t="shared" si="20"/>
        <v>1</v>
      </c>
      <c r="K43" s="40">
        <f t="shared" si="20"/>
        <v>1</v>
      </c>
      <c r="L43" s="40">
        <f t="shared" si="20"/>
        <v>1</v>
      </c>
      <c r="M43" s="40">
        <f t="shared" si="20"/>
        <v>1</v>
      </c>
      <c r="N43" s="40">
        <f t="shared" si="20"/>
        <v>1</v>
      </c>
      <c r="O43" s="40">
        <f t="shared" si="20"/>
        <v>1</v>
      </c>
      <c r="P43" s="40">
        <f t="shared" si="20"/>
        <v>1</v>
      </c>
      <c r="Q43" s="40">
        <f t="shared" si="20"/>
        <v>1</v>
      </c>
      <c r="R43" s="40">
        <f t="shared" si="16"/>
        <v>14</v>
      </c>
    </row>
    <row r="44" spans="1:21" ht="14.55" hidden="1" customHeight="1" x14ac:dyDescent="0.3">
      <c r="A44" s="23">
        <v>30</v>
      </c>
      <c r="B44" s="23">
        <v>25</v>
      </c>
      <c r="C44" s="38" t="s">
        <v>34</v>
      </c>
      <c r="D44" s="40">
        <f t="shared" ref="D44:Q44" si="21">IF(D31&gt;0,1,0)</f>
        <v>1</v>
      </c>
      <c r="E44" s="40">
        <f t="shared" si="21"/>
        <v>1</v>
      </c>
      <c r="F44" s="40">
        <f t="shared" si="21"/>
        <v>1</v>
      </c>
      <c r="G44" s="40">
        <f t="shared" si="21"/>
        <v>1</v>
      </c>
      <c r="H44" s="40">
        <f t="shared" si="21"/>
        <v>1</v>
      </c>
      <c r="I44" s="40">
        <f t="shared" si="21"/>
        <v>1</v>
      </c>
      <c r="J44" s="40">
        <f t="shared" si="21"/>
        <v>1</v>
      </c>
      <c r="K44" s="40">
        <f t="shared" si="21"/>
        <v>0</v>
      </c>
      <c r="L44" s="40">
        <f t="shared" si="21"/>
        <v>0</v>
      </c>
      <c r="M44" s="40">
        <f t="shared" si="21"/>
        <v>0</v>
      </c>
      <c r="N44" s="40">
        <f t="shared" si="21"/>
        <v>0</v>
      </c>
      <c r="O44" s="40">
        <f t="shared" si="21"/>
        <v>0</v>
      </c>
      <c r="P44" s="40">
        <f t="shared" si="21"/>
        <v>0</v>
      </c>
      <c r="Q44" s="40">
        <f t="shared" si="21"/>
        <v>0</v>
      </c>
      <c r="R44" s="40">
        <f t="shared" si="16"/>
        <v>7</v>
      </c>
    </row>
    <row r="45" spans="1:21" ht="14.55" hidden="1" customHeight="1" x14ac:dyDescent="0.3">
      <c r="A45" s="23">
        <v>40</v>
      </c>
      <c r="B45" s="23">
        <v>20</v>
      </c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21" ht="14.55" hidden="1" customHeight="1" x14ac:dyDescent="0.3">
      <c r="A46" s="23">
        <v>50</v>
      </c>
      <c r="B46" s="23">
        <v>15</v>
      </c>
    </row>
    <row r="47" spans="1:21" ht="14.55" hidden="1" customHeight="1" x14ac:dyDescent="0.3">
      <c r="A47" s="23">
        <v>60</v>
      </c>
      <c r="B47" s="23">
        <v>10</v>
      </c>
    </row>
    <row r="48" spans="1:21" ht="14.55" hidden="1" customHeight="1" x14ac:dyDescent="0.3">
      <c r="A48" s="23">
        <v>80</v>
      </c>
      <c r="B48" s="23">
        <v>5</v>
      </c>
      <c r="D48" s="34" t="s">
        <v>55</v>
      </c>
      <c r="E48" s="67">
        <f>Net_Vll*Net_Vll/Cap_Vr/Cap_Vr*(1+Lfactor/100)</f>
        <v>0.88959194214876036</v>
      </c>
      <c r="J48" s="36" t="s">
        <v>44</v>
      </c>
    </row>
    <row r="49" spans="1:18" ht="14.55" hidden="1" customHeight="1" x14ac:dyDescent="0.3">
      <c r="A49" s="23">
        <v>100</v>
      </c>
      <c r="B49" s="23">
        <v>2.5</v>
      </c>
      <c r="D49" s="34" t="s">
        <v>39</v>
      </c>
      <c r="E49" s="34">
        <f>MD_pct*MD_org/100</f>
        <v>120</v>
      </c>
      <c r="F49" s="36" t="s">
        <v>12</v>
      </c>
      <c r="G49" s="36"/>
      <c r="H49" s="36" t="s">
        <v>36</v>
      </c>
      <c r="I49" s="36">
        <f>ROUND(MD_org*0.8/Net_Vll/SQRT(3)/0.75*1000,0)</f>
        <v>178</v>
      </c>
      <c r="J49" s="36">
        <f>INDEX(B58:B80,MATCH(I49,B58:B80,-1),1)</f>
        <v>200</v>
      </c>
      <c r="K49" s="36"/>
      <c r="L49" s="36"/>
      <c r="M49" s="36"/>
      <c r="N49" s="36"/>
      <c r="O49" s="36"/>
      <c r="P49" s="36"/>
      <c r="Q49" s="36"/>
      <c r="R49" s="36"/>
    </row>
    <row r="50" spans="1:18" ht="14.55" hidden="1" customHeight="1" x14ac:dyDescent="0.3">
      <c r="A50" s="22"/>
      <c r="B50" s="22"/>
      <c r="D50" s="34" t="s">
        <v>40</v>
      </c>
      <c r="E50" s="34">
        <f>IF(E15="Auto",E56,E15)</f>
        <v>2.5</v>
      </c>
      <c r="F50" s="36" t="s">
        <v>1</v>
      </c>
      <c r="G50" s="36"/>
      <c r="H50" s="36" t="s">
        <v>35</v>
      </c>
      <c r="I50" s="36">
        <f>ROUND(MD_org/Net_Vll/SQRT(3)/0.75*1000,0)</f>
        <v>223</v>
      </c>
      <c r="J50" s="36">
        <f>INDEX(B58:B80,MATCH(I50,B58:B80,-1),1)</f>
        <v>250</v>
      </c>
      <c r="K50" s="36"/>
      <c r="L50" s="36"/>
      <c r="M50" s="36"/>
      <c r="N50" s="36"/>
      <c r="O50" s="36"/>
      <c r="P50" s="36"/>
      <c r="Q50" s="36"/>
      <c r="R50" s="36"/>
    </row>
    <row r="51" spans="1:18" ht="14.55" hidden="1" customHeight="1" x14ac:dyDescent="0.3">
      <c r="A51" s="22" t="s">
        <v>11</v>
      </c>
      <c r="B51" s="22"/>
      <c r="D51" s="34" t="s">
        <v>41</v>
      </c>
      <c r="E51" s="51">
        <f>D25*CapRatio/Net_Vll/SQRT(3)*1000</f>
        <v>3.0940129353524624</v>
      </c>
      <c r="F51" s="36" t="s">
        <v>38</v>
      </c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</row>
    <row r="52" spans="1:18" ht="32.549999999999997" hidden="1" customHeight="1" x14ac:dyDescent="0.3">
      <c r="A52" s="23">
        <v>6</v>
      </c>
      <c r="B52" s="23"/>
      <c r="D52" s="36"/>
      <c r="E52" s="35" t="s">
        <v>22</v>
      </c>
      <c r="F52" s="35" t="s">
        <v>23</v>
      </c>
      <c r="G52" s="50" t="s">
        <v>37</v>
      </c>
    </row>
    <row r="53" spans="1:18" ht="14.55" hidden="1" customHeight="1" x14ac:dyDescent="0.3">
      <c r="A53" s="23">
        <v>7</v>
      </c>
      <c r="B53" s="23"/>
      <c r="D53" s="36" t="s">
        <v>42</v>
      </c>
      <c r="E53" s="39">
        <f>CTval*0.01*Net_Vll*SQRT(3)/1000</f>
        <v>1.7970027128527102</v>
      </c>
      <c r="F53" s="39">
        <f>E53*Cap_Vr*Cap_Vr/Net_Vll/Net_Vll</f>
        <v>2.0200303394297268</v>
      </c>
      <c r="G53" s="37">
        <f>E53*1000/Net_Vll/SQRT(3)</f>
        <v>2.5</v>
      </c>
      <c r="H53" s="36" t="s">
        <v>27</v>
      </c>
      <c r="I53" s="36"/>
      <c r="J53" s="66">
        <v>0.13</v>
      </c>
    </row>
    <row r="54" spans="1:18" ht="14.55" hidden="1" customHeight="1" x14ac:dyDescent="0.3">
      <c r="A54" s="23">
        <v>13</v>
      </c>
      <c r="B54" s="23"/>
      <c r="D54" s="34" t="s">
        <v>24</v>
      </c>
      <c r="E54" s="37">
        <f>ROUND(norm_kW*TAN(ACOS(PFini)) - norm_kW*TAN(ACOS(PFtar)),0)</f>
        <v>83</v>
      </c>
      <c r="F54" s="40">
        <f>ROUND(E54/CapRatio,0)</f>
        <v>93</v>
      </c>
      <c r="H54" s="36" t="s">
        <v>25</v>
      </c>
      <c r="I54" s="40">
        <f>IF(F54/E56&gt;2,INT(F54*0.9),F54)</f>
        <v>83</v>
      </c>
      <c r="J54" s="35">
        <f>IF(F54/E56&gt;2,INT(F54*0.84),F54)</f>
        <v>78</v>
      </c>
    </row>
    <row r="55" spans="1:18" ht="14.55" hidden="1" customHeight="1" x14ac:dyDescent="0.3">
      <c r="B55" s="22"/>
      <c r="H55" s="36" t="s">
        <v>26</v>
      </c>
      <c r="I55" s="40">
        <f>IF(F54/E56&gt;2,ROUND(F54*1.1,0),F54+E56)</f>
        <v>102</v>
      </c>
      <c r="J55" s="35">
        <f>IF(F54/E56&gt;2,ROUND(F54*1.16,0),F54+E56)</f>
        <v>108</v>
      </c>
    </row>
    <row r="56" spans="1:18" ht="14.55" hidden="1" customHeight="1" x14ac:dyDescent="0.3">
      <c r="A56" s="23" t="s">
        <v>17</v>
      </c>
      <c r="D56" s="34" t="s">
        <v>43</v>
      </c>
      <c r="E56" s="35">
        <f>INDEX(B38:B49,MATCH(F53*0.9,B38:B49,-1),1)</f>
        <v>2.5</v>
      </c>
      <c r="F56" s="35" t="s">
        <v>1</v>
      </c>
      <c r="G56" s="52">
        <f>E56*1000*CapRatio/Net_Vll/SQRT(3)</f>
        <v>3.0940129353524628</v>
      </c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</row>
    <row r="57" spans="1:18" ht="14.55" hidden="1" customHeight="1" x14ac:dyDescent="0.3">
      <c r="A57" t="s">
        <v>6</v>
      </c>
      <c r="B57" s="22"/>
      <c r="C57" s="36"/>
      <c r="D57" s="34" t="s">
        <v>56</v>
      </c>
      <c r="E57" s="35">
        <f>IF(CTsel="Auto",J50,CTsel)</f>
        <v>250</v>
      </c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</row>
    <row r="58" spans="1:18" ht="14.55" hidden="1" customHeight="1" x14ac:dyDescent="0.3">
      <c r="A58" s="23">
        <v>60</v>
      </c>
      <c r="B58" s="23">
        <v>10000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</row>
    <row r="59" spans="1:18" ht="14.55" hidden="1" customHeight="1" x14ac:dyDescent="0.3">
      <c r="A59">
        <v>80</v>
      </c>
      <c r="B59" s="23">
        <v>8000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</row>
    <row r="60" spans="1:18" ht="14.55" hidden="1" customHeight="1" x14ac:dyDescent="0.3">
      <c r="A60" s="23">
        <v>100</v>
      </c>
      <c r="B60" s="23">
        <v>6000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</row>
    <row r="61" spans="1:18" ht="14.55" hidden="1" customHeight="1" x14ac:dyDescent="0.3">
      <c r="A61" s="23">
        <v>150</v>
      </c>
      <c r="B61" s="23">
        <v>5000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</row>
    <row r="62" spans="1:18" ht="14.55" hidden="1" customHeight="1" x14ac:dyDescent="0.3">
      <c r="A62" s="23">
        <v>200</v>
      </c>
      <c r="B62" s="23">
        <v>4000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</row>
    <row r="63" spans="1:18" ht="14.55" hidden="1" customHeight="1" x14ac:dyDescent="0.3">
      <c r="A63" s="23">
        <v>250</v>
      </c>
      <c r="B63" s="23">
        <v>3000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</row>
    <row r="64" spans="1:18" ht="14.55" hidden="1" customHeight="1" x14ac:dyDescent="0.3">
      <c r="A64" s="23">
        <v>300</v>
      </c>
      <c r="B64" s="23">
        <v>2500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</row>
    <row r="65" spans="1:18" ht="14.55" hidden="1" customHeight="1" x14ac:dyDescent="0.3">
      <c r="A65" s="23">
        <v>400</v>
      </c>
      <c r="B65" s="23">
        <v>2000</v>
      </c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</row>
    <row r="66" spans="1:18" ht="14.55" hidden="1" customHeight="1" x14ac:dyDescent="0.3">
      <c r="A66" s="23">
        <v>500</v>
      </c>
      <c r="B66" s="23">
        <v>1600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</row>
    <row r="67" spans="1:18" ht="14.55" hidden="1" customHeight="1" x14ac:dyDescent="0.3">
      <c r="A67" s="23">
        <v>600</v>
      </c>
      <c r="B67" s="23">
        <v>1500</v>
      </c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</row>
    <row r="68" spans="1:18" ht="14.55" hidden="1" customHeight="1" x14ac:dyDescent="0.3">
      <c r="A68" s="23">
        <v>800</v>
      </c>
      <c r="B68" s="23">
        <v>1200</v>
      </c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</row>
    <row r="69" spans="1:18" ht="14.55" hidden="1" customHeight="1" x14ac:dyDescent="0.3">
      <c r="A69" s="23">
        <v>1000</v>
      </c>
      <c r="B69" s="23">
        <v>1000</v>
      </c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</row>
    <row r="70" spans="1:18" ht="14.55" hidden="1" customHeight="1" x14ac:dyDescent="0.3">
      <c r="A70" s="23">
        <v>1200</v>
      </c>
      <c r="B70" s="23">
        <v>800</v>
      </c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</row>
    <row r="71" spans="1:18" ht="14.55" hidden="1" customHeight="1" x14ac:dyDescent="0.3">
      <c r="A71" s="23">
        <v>1500</v>
      </c>
      <c r="B71" s="23">
        <v>600</v>
      </c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</row>
    <row r="72" spans="1:18" ht="14.55" hidden="1" customHeight="1" x14ac:dyDescent="0.3">
      <c r="A72" s="23">
        <v>1600</v>
      </c>
      <c r="B72" s="23">
        <v>500</v>
      </c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</row>
    <row r="73" spans="1:18" ht="14.55" hidden="1" customHeight="1" x14ac:dyDescent="0.3">
      <c r="A73" s="23">
        <v>2000</v>
      </c>
      <c r="B73" s="23">
        <v>400</v>
      </c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</row>
    <row r="74" spans="1:18" ht="14.55" hidden="1" customHeight="1" x14ac:dyDescent="0.3">
      <c r="A74" s="23">
        <v>2500</v>
      </c>
      <c r="B74" s="23">
        <v>300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</row>
    <row r="75" spans="1:18" ht="14.55" hidden="1" customHeight="1" x14ac:dyDescent="0.3">
      <c r="A75" s="23">
        <v>3000</v>
      </c>
      <c r="B75" s="23">
        <v>250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</row>
    <row r="76" spans="1:18" ht="14.55" hidden="1" customHeight="1" x14ac:dyDescent="0.3">
      <c r="A76" s="23">
        <v>4000</v>
      </c>
      <c r="B76" s="23">
        <v>200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</row>
    <row r="77" spans="1:18" ht="14.55" hidden="1" customHeight="1" x14ac:dyDescent="0.3">
      <c r="A77" s="23">
        <v>5000</v>
      </c>
      <c r="B77" s="23">
        <v>150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</row>
    <row r="78" spans="1:18" ht="14.55" hidden="1" customHeight="1" x14ac:dyDescent="0.3">
      <c r="A78" s="23">
        <v>6000</v>
      </c>
      <c r="B78" s="23">
        <v>100</v>
      </c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</row>
    <row r="79" spans="1:18" hidden="1" x14ac:dyDescent="0.3">
      <c r="A79" s="23">
        <v>8000</v>
      </c>
      <c r="B79" s="23">
        <v>80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</row>
    <row r="80" spans="1:18" hidden="1" x14ac:dyDescent="0.3">
      <c r="A80" s="23">
        <v>10000</v>
      </c>
      <c r="B80" s="23">
        <v>60</v>
      </c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</row>
  </sheetData>
  <sheetProtection algorithmName="SHA-512" hashValue="8iplCMM2JB2J2WFvNlsVw/1u6KH8oPTHt8UbX5eb/hRyp5f5stDNPBBsWxEPkmc50JKjs1qEZolS2gQW3oZeSQ==" saltValue="+DcpeLN9u5GarDpe4IJKmQ==" spinCount="100000" sheet="1" objects="1" scenarios="1" selectLockedCells="1"/>
  <sortState xmlns:xlrd2="http://schemas.microsoft.com/office/spreadsheetml/2017/richdata2" ref="B37:B46">
    <sortCondition descending="1" ref="B35"/>
  </sortState>
  <mergeCells count="17">
    <mergeCell ref="C34:N34"/>
    <mergeCell ref="U23:U24"/>
    <mergeCell ref="T23:T24"/>
    <mergeCell ref="S23:S24"/>
    <mergeCell ref="C23:C24"/>
    <mergeCell ref="Y23:Y24"/>
    <mergeCell ref="Z23:Z24"/>
    <mergeCell ref="AA23:AA24"/>
    <mergeCell ref="AB23:AB24"/>
    <mergeCell ref="D5:F5"/>
    <mergeCell ref="D23:Q23"/>
    <mergeCell ref="R23:R24"/>
    <mergeCell ref="T20:U20"/>
    <mergeCell ref="T21:U21"/>
    <mergeCell ref="I13:S14"/>
    <mergeCell ref="I16:S17"/>
    <mergeCell ref="I19:R20"/>
  </mergeCells>
  <conditionalFormatting sqref="C25:R25">
    <cfRule type="expression" dxfId="16" priority="6" stopIfTrue="1">
      <formula>OR($R$25&lt;$J$54,$R$25&gt;$J$55)</formula>
    </cfRule>
  </conditionalFormatting>
  <conditionalFormatting sqref="C26:R26">
    <cfRule type="expression" dxfId="15" priority="7" stopIfTrue="1">
      <formula>OR($R$26&lt;$J$54,$R$26&gt;$J$55)</formula>
    </cfRule>
  </conditionalFormatting>
  <conditionalFormatting sqref="C27:R27">
    <cfRule type="expression" dxfId="14" priority="8" stopIfTrue="1">
      <formula>OR($R$27&lt;$J$54,$R$27&gt;$J$55)</formula>
    </cfRule>
  </conditionalFormatting>
  <conditionalFormatting sqref="C28:R28">
    <cfRule type="expression" dxfId="13" priority="14" stopIfTrue="1">
      <formula>OR($R$28&lt;$J$54,$R$28&gt;$J$55)</formula>
    </cfRule>
  </conditionalFormatting>
  <conditionalFormatting sqref="C29:R29">
    <cfRule type="expression" dxfId="12" priority="18" stopIfTrue="1">
      <formula>OR($R$29&lt;$J$54,$R$29&gt;$J$55)</formula>
    </cfRule>
  </conditionalFormatting>
  <conditionalFormatting sqref="C30:R30">
    <cfRule type="expression" dxfId="11" priority="21" stopIfTrue="1">
      <formula>OR($R$30&lt;$J$54,$R$30&gt;$J$55)</formula>
    </cfRule>
  </conditionalFormatting>
  <conditionalFormatting sqref="C31:R31">
    <cfRule type="expression" dxfId="10" priority="57" stopIfTrue="1">
      <formula>OR($R$31&lt;$J$54,$R$31&gt;$J$55)</formula>
    </cfRule>
  </conditionalFormatting>
  <conditionalFormatting sqref="C25:U25">
    <cfRule type="expression" dxfId="9" priority="58" stopIfTrue="1">
      <formula>OR($R$25&lt;$I$54,$R$25&gt;$I$55)</formula>
    </cfRule>
  </conditionalFormatting>
  <conditionalFormatting sqref="C26:U26">
    <cfRule type="expression" dxfId="8" priority="59" stopIfTrue="1">
      <formula>OR($R$26&lt;$I$54,$R$26&gt;$I$55)</formula>
    </cfRule>
  </conditionalFormatting>
  <conditionalFormatting sqref="C27:U27">
    <cfRule type="expression" dxfId="7" priority="60" stopIfTrue="1">
      <formula>OR($R$27&lt;$I$54,$R$27&gt;$I$55)</formula>
    </cfRule>
  </conditionalFormatting>
  <conditionalFormatting sqref="C28:U28">
    <cfRule type="expression" dxfId="6" priority="61" stopIfTrue="1">
      <formula>OR($R$28&lt;$I$54,$R$28&gt;$I$55)</formula>
    </cfRule>
  </conditionalFormatting>
  <conditionalFormatting sqref="C29:U29">
    <cfRule type="expression" dxfId="5" priority="62" stopIfTrue="1">
      <formula>OR($R$29&lt;$I$54,$R$29&gt;$I$55)</formula>
    </cfRule>
  </conditionalFormatting>
  <conditionalFormatting sqref="C30:U30">
    <cfRule type="expression" dxfId="4" priority="63" stopIfTrue="1">
      <formula>OR($R$30&lt;$I$54,$R$30&gt;$I$55)</formula>
    </cfRule>
  </conditionalFormatting>
  <conditionalFormatting sqref="C31:U31">
    <cfRule type="expression" dxfId="3" priority="64" stopIfTrue="1">
      <formula>OR($R$31&lt;$I$54,$R$31&gt;$I$55)</formula>
    </cfRule>
  </conditionalFormatting>
  <conditionalFormatting sqref="D25:Q31">
    <cfRule type="cellIs" dxfId="2" priority="1" stopIfTrue="1" operator="equal">
      <formula>0</formula>
    </cfRule>
  </conditionalFormatting>
  <conditionalFormatting sqref="D25:U31">
    <cfRule type="cellIs" dxfId="1" priority="65" operator="greaterThan">
      <formula>0</formula>
    </cfRule>
  </conditionalFormatting>
  <dataValidations count="8">
    <dataValidation type="list" allowBlank="1" showInputMessage="1" showErrorMessage="1" sqref="E15" xr:uid="{00000000-0002-0000-0000-000000000000}">
      <formula1>$A$37:$A$49</formula1>
    </dataValidation>
    <dataValidation type="list" allowBlank="1" showInputMessage="1" showErrorMessage="1" sqref="E16" xr:uid="{00000000-0002-0000-0000-000001000000}">
      <formula1>$A$51:$A$54</formula1>
    </dataValidation>
    <dataValidation type="whole" errorStyle="warning" allowBlank="1" showInputMessage="1" showErrorMessage="1" errorTitle="Nominal Load Out of Range" error="Please enter a Value of 75% ~ 100%" sqref="E10" xr:uid="{00000000-0002-0000-0000-000002000000}">
      <formula1>75</formula1>
      <formula2>100</formula2>
    </dataValidation>
    <dataValidation type="whole" allowBlank="1" showInputMessage="1" showErrorMessage="1" errorTitle="Out of Range" error="Integer Value from 2 to 5000 Only" sqref="E7" xr:uid="{00000000-0002-0000-0000-000003000000}">
      <formula1>2</formula1>
      <formula2>5000</formula2>
    </dataValidation>
    <dataValidation type="whole" errorStyle="warning" operator="greaterThanOrEqual" allowBlank="1" showInputMessage="1" showErrorMessage="1" errorTitle="Invalid Cap Rated Voltage" error="Rated Voltage of Capacitor must be &gt;= Network Voltage (L-L) !" sqref="E13" xr:uid="{00000000-0002-0000-0000-000004000000}">
      <formula1>E14</formula1>
    </dataValidation>
    <dataValidation type="decimal" operator="lessThanOrEqual" allowBlank="1" showInputMessage="1" showErrorMessage="1" errorTitle="Max PF Out of Range" error="Maximum PF = 1.00 only !" sqref="E9" xr:uid="{00000000-0002-0000-0000-000005000000}">
      <formula1>1</formula1>
    </dataValidation>
    <dataValidation type="decimal" operator="greaterThanOrEqual" allowBlank="1" showInputMessage="1" showErrorMessage="1" errorTitle="Min PF Out of Range" error="Minimum allowed PF = 0.05 !" sqref="E8" xr:uid="{00000000-0002-0000-0000-000006000000}">
      <formula1>0.05</formula1>
    </dataValidation>
    <dataValidation type="list" errorStyle="warning" allowBlank="1" showInputMessage="1" showErrorMessage="1" errorTitle="Out of Range" error="The CT input value is likely not in the specified MD range !" sqref="E12" xr:uid="{00000000-0002-0000-0000-000007000000}">
      <formula1>$A$57:$A$80</formula1>
    </dataValidation>
  </dataValidations>
  <pageMargins left="0.7" right="0.7" top="0.75" bottom="0.75" header="0.3" footer="0.3"/>
  <pageSetup paperSize="9" orientation="portrait" horizontalDpi="4294967293" verticalDpi="4294967293" r:id="rId1"/>
  <ignoredErrors>
    <ignoredError sqref="K27:Q27 K28 L28:Q28 H29 F30" formula="1"/>
    <ignoredError sqref="AB26:AB31" formulaRange="1"/>
    <ignoredError sqref="AC25:AC31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stopIfTrue="1" operator="containsText" id="{CCF83CA3-ACA7-4D67-B422-9B7D43F78827}">
            <xm:f>NOT(ISERROR(SEARCH("---",S25)))</xm:f>
            <xm:f>"---"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S25:U31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21</vt:i4>
      </vt:variant>
    </vt:vector>
  </HeadingPairs>
  <TitlesOfParts>
    <vt:vector size="22" baseType="lpstr">
      <vt:lpstr>CapSizing</vt:lpstr>
      <vt:lpstr>Cap_Vr</vt:lpstr>
      <vt:lpstr>cap1st</vt:lpstr>
      <vt:lpstr>CapRatio</vt:lpstr>
      <vt:lpstr>CapSurgeAmpR</vt:lpstr>
      <vt:lpstr>CTsel</vt:lpstr>
      <vt:lpstr>CTval</vt:lpstr>
      <vt:lpstr>deltaSize</vt:lpstr>
      <vt:lpstr>L_pct</vt:lpstr>
      <vt:lpstr>Lfactor</vt:lpstr>
      <vt:lpstr>MD_org</vt:lpstr>
      <vt:lpstr>MD_pct</vt:lpstr>
      <vt:lpstr>Net_Vll</vt:lpstr>
      <vt:lpstr>norm_kW</vt:lpstr>
      <vt:lpstr>PFini</vt:lpstr>
      <vt:lpstr>PFtar</vt:lpstr>
      <vt:lpstr>QHi13pct</vt:lpstr>
      <vt:lpstr>QLo13pct</vt:lpstr>
      <vt:lpstr>QreqLimitHi</vt:lpstr>
      <vt:lpstr>QreqLimitLo</vt:lpstr>
      <vt:lpstr>reqCapR</vt:lpstr>
      <vt:lpstr>surgeFactor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Yap</dc:creator>
  <cp:lastModifiedBy>Virooshan Naidu</cp:lastModifiedBy>
  <dcterms:created xsi:type="dcterms:W3CDTF">2016-09-26T07:26:50Z</dcterms:created>
  <dcterms:modified xsi:type="dcterms:W3CDTF">2023-09-15T03:43:26Z</dcterms:modified>
</cp:coreProperties>
</file>