
<file path=[Content_Types].xml><?xml version="1.0" encoding="utf-8"?>
<Types xmlns="http://schemas.openxmlformats.org/package/2006/content-types">
  <Default ContentType="application/xml" Extension="xml"/>
  <Default ContentType="image/jpeg" Extension="jpe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pSizing" sheetId="1" r:id="rId4"/>
  </sheets>
  <definedNames>
    <definedName name="Cap_Vr">CapSizing!$E$13</definedName>
    <definedName name="Net_Vll">CapSizing!$E$14</definedName>
    <definedName name="CapSurgeAmpR">CapSizing!$AC$21</definedName>
    <definedName name="deltaSize">CapSizing!$AA$18</definedName>
    <definedName name="Lfactor">CapSizing!$AA$17</definedName>
    <definedName name="PFtar">CapSizing!$E$9</definedName>
    <definedName name="MD_pct">CapSizing!$E$10</definedName>
    <definedName name="QreqLimitHi">CapSizing!$I$55</definedName>
    <definedName name="CTval">CapSizing!$E$57</definedName>
    <definedName name="CTsel">CapSizing!$E$12</definedName>
    <definedName name="L_pct">CapSizing!$E$16</definedName>
    <definedName name="CapRatio">CapSizing!$E$48</definedName>
    <definedName name="MD_org">CapSizing!$E$7</definedName>
    <definedName name="QHi13pct">CapSizing!$J$55</definedName>
    <definedName name="PFini">CapSizing!$E$8</definedName>
    <definedName name="QLo13pct">CapSizing!$J$54</definedName>
    <definedName name="cap1st">CapSizing!$E$50</definedName>
    <definedName name="norm_kW">CapSizing!$E$49</definedName>
    <definedName name="reqCapR">CapSizing!$E$21</definedName>
    <definedName name="surgeFactor">CapSizing!$AA$19</definedName>
    <definedName name="QreqLimitLo">CapSizing!$I$54</definedName>
  </definedNames>
  <calcPr/>
</workbook>
</file>

<file path=xl/sharedStrings.xml><?xml version="1.0" encoding="utf-8"?>
<sst xmlns="http://schemas.openxmlformats.org/spreadsheetml/2006/main" count="90" uniqueCount="82">
  <si>
    <t>Capacitor Sizing &amp; Selection</t>
  </si>
  <si>
    <t>Enter Parameters Here</t>
  </si>
  <si>
    <t>MD :</t>
  </si>
  <si>
    <t>kW</t>
  </si>
  <si>
    <t>Initial PF :</t>
  </si>
  <si>
    <t>Target PF :</t>
  </si>
  <si>
    <t>Norminal Load (% MD) :</t>
  </si>
  <si>
    <t>%</t>
  </si>
  <si>
    <t>Recommended CT Range :</t>
  </si>
  <si>
    <t>CT size Selection :</t>
  </si>
  <si>
    <t>Auto</t>
  </si>
  <si>
    <t>/ 5A</t>
  </si>
  <si>
    <t>NV8s/NV14s - The Smarter Choice for Automatic Power Factor Correction</t>
  </si>
  <si>
    <t>Cap rated Voltage :</t>
  </si>
  <si>
    <t>Vac</t>
  </si>
  <si>
    <t>Extremely user friendly with a host of features (THD &amp; THD spectrum measurement, exhaust FAN control, smart Switching Sequence, auto CK, Alarm, operation from 1% load, etc)</t>
  </si>
  <si>
    <t>Network Voltage (L-L) :</t>
  </si>
  <si>
    <t>1st Step Cap Size :</t>
  </si>
  <si>
    <t>PQM-1000s - The Smarter Choice for Power Quality Monitoring</t>
  </si>
  <si>
    <t>Harmonic Filter :</t>
  </si>
  <si>
    <t>None</t>
  </si>
  <si>
    <t>Extremely user friendly with many hi-End features (Waveform view, 360 Phasor view, THD Specturm Bar graph view, all relevant electrical Parameters, external plug-in-type RS-485 module, etc)</t>
  </si>
  <si>
    <t>Lfactor</t>
  </si>
  <si>
    <t>DP-xx series Protection Relay - Best in Class</t>
  </si>
  <si>
    <t>deltaSize</t>
  </si>
  <si>
    <r>
      <rPr>
        <rFont val="Calibri"/>
        <color rgb="FF000000"/>
        <sz val="10.0"/>
      </rPr>
      <t xml:space="preserve">Extremely user friendly controls for easy parameter setting and viewing (superior tripping response to short circuit with </t>
    </r>
    <r>
      <rPr>
        <rFont val="Calibri"/>
        <b/>
        <i/>
        <color rgb="FF000000"/>
        <sz val="10.0"/>
      </rPr>
      <t>SPARC</t>
    </r>
    <r>
      <rPr>
        <rFont val="Calibri"/>
        <color rgb="FF000000"/>
        <sz val="10.0"/>
      </rPr>
      <t>, trip events history with last tripped elapsed time, fault events history, external plug-in-type RS-485 module, etc)</t>
    </r>
  </si>
  <si>
    <t>surgeF</t>
  </si>
  <si>
    <t>CT Size :</t>
  </si>
  <si>
    <t>Valid</t>
  </si>
  <si>
    <t>Required kVar :</t>
  </si>
  <si>
    <t>kVar /</t>
  </si>
  <si>
    <t>Invalid</t>
  </si>
  <si>
    <t>surge A =</t>
  </si>
  <si>
    <t>x</t>
  </si>
  <si>
    <t>Switching Program</t>
  </si>
  <si>
    <t>Capacitor Steps (kVar)</t>
  </si>
  <si>
    <t>Total kVar</t>
  </si>
  <si>
    <t>Number of Steps</t>
  </si>
  <si>
    <t>Total Cap Ampere</t>
  </si>
  <si>
    <t>Recommeded MCCB Size</t>
  </si>
  <si>
    <t>Size of Last Step</t>
  </si>
  <si>
    <t>Amp of Last Step</t>
  </si>
  <si>
    <t>MCCB Size</t>
  </si>
  <si>
    <t>MCCB ReSized</t>
  </si>
  <si>
    <t>1:1:1:1:1</t>
  </si>
  <si>
    <t>1:2:2:2:2</t>
  </si>
  <si>
    <t>1:2:4:4:4</t>
  </si>
  <si>
    <t>1:1:2:2:2</t>
  </si>
  <si>
    <t>1:1:2:2:4</t>
  </si>
  <si>
    <t>1:1:1:2:2</t>
  </si>
  <si>
    <t>1:2:4:8:8</t>
  </si>
  <si>
    <t>Note:</t>
  </si>
  <si>
    <t>The above selection / option is only provided as a guideline for capacitor step &amp; size selection.  Actual load condition may vary and require different combination / selection of capacitor steps &amp; sizes.</t>
  </si>
  <si>
    <t>Doc Version: 1.02</t>
  </si>
  <si>
    <t>Caps</t>
  </si>
  <si>
    <t>P-1</t>
  </si>
  <si>
    <t>P-2</t>
  </si>
  <si>
    <t>P-3</t>
  </si>
  <si>
    <t>P-4</t>
  </si>
  <si>
    <t>P-5</t>
  </si>
  <si>
    <t>P-6</t>
  </si>
  <si>
    <t>P-7</t>
  </si>
  <si>
    <t>Sq(Vs/Vr) :</t>
  </si>
  <si>
    <t>recommended</t>
  </si>
  <si>
    <t>Nominal MD :</t>
  </si>
  <si>
    <t>CT Lo</t>
  </si>
  <si>
    <t>1st Cap :</t>
  </si>
  <si>
    <t>kVar</t>
  </si>
  <si>
    <t>CT Hi</t>
  </si>
  <si>
    <t>1st Cap Amp :</t>
  </si>
  <si>
    <t>A</t>
  </si>
  <si>
    <t>rated V actual</t>
  </si>
  <si>
    <t>rated V Cap</t>
  </si>
  <si>
    <t>Amp</t>
  </si>
  <si>
    <t>1% cap :</t>
  </si>
  <si>
    <t>Limit (10%)</t>
  </si>
  <si>
    <t>TotCapReq :</t>
  </si>
  <si>
    <t>Q_L</t>
  </si>
  <si>
    <t>Q_H</t>
  </si>
  <si>
    <t>ct</t>
  </si>
  <si>
    <t>look up 1st cap :</t>
  </si>
  <si>
    <t>CT Value 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</si>
</sst>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0.0000"/>
  </numFmts>
  <fonts count="14">
    <font>
      <sz val="11.0"/>
      <color rgb="FF000000"/>
      <name val="Calibri"/>
    </font>
    <font>
      <b/>
      <sz val="36.0"/>
      <color rgb="FF000000"/>
      <name val="Calibri"/>
    </font>
    <font>
      <sz val="11.0"/>
      <color rgb="FFFFFFFF"/>
      <name val="Calibri"/>
    </font>
    <font/>
    <font>
      <b/>
      <sz val="14.0"/>
      <color rgb="FF000000"/>
      <name val="Calibri"/>
    </font>
    <font>
      <sz val="10.0"/>
      <color rgb="FF000000"/>
      <name val="Calibri"/>
    </font>
    <font>
      <b/>
      <sz val="11.0"/>
      <color rgb="FF000000"/>
      <name val="Calibri"/>
    </font>
    <font>
      <b/>
      <sz val="12.0"/>
      <color rgb="FF000000"/>
      <name val="Calibri"/>
    </font>
    <font>
      <b/>
      <strike/>
      <sz val="12.0"/>
      <color rgb="FFFFFFFF"/>
      <name val="Calibri"/>
    </font>
    <font>
      <sz val="12.0"/>
      <color rgb="FF000000"/>
      <name val="Calibri"/>
    </font>
    <font>
      <b/>
      <sz val="12.0"/>
      <color rgb="FFFFFFFF"/>
      <name val="Calibri"/>
    </font>
    <font>
      <b/>
      <sz val="14.0"/>
      <color rgb="FFFFFFFF"/>
      <name val="Calibri"/>
    </font>
    <font>
      <sz val="12.0"/>
      <color rgb="FFFFFFFF"/>
      <name val="Calibri"/>
    </font>
    <font>
      <sz val="9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2E75B5"/>
        <bgColor rgb="FF2E75B5"/>
      </patternFill>
    </fill>
  </fills>
  <borders count="4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medium">
        <color rgb="FF000000"/>
      </left>
      <right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0" fillId="0" fontId="0" numFmtId="0" xfId="0" applyFont="1"/>
    <xf borderId="1" fillId="0" fontId="0" numFmtId="0" xfId="0" applyBorder="1" applyFont="1"/>
    <xf borderId="2" fillId="0" fontId="0" numFmtId="0" xfId="0" applyBorder="1" applyFont="1"/>
    <xf borderId="3" fillId="0" fontId="0" numFmtId="0" xfId="0" applyBorder="1" applyFont="1"/>
    <xf borderId="4" fillId="0" fontId="0" numFmtId="0" xfId="0" applyBorder="1" applyFont="1"/>
    <xf borderId="0" fillId="0" fontId="1" numFmtId="0" xfId="0" applyAlignment="1" applyFont="1">
      <alignment vertical="top"/>
    </xf>
    <xf borderId="5" fillId="0" fontId="0" numFmtId="0" xfId="0" applyBorder="1" applyFont="1"/>
    <xf borderId="6" fillId="2" fontId="2" numFmtId="0" xfId="0" applyAlignment="1" applyBorder="1" applyFill="1" applyFont="1">
      <alignment horizontal="center"/>
    </xf>
    <xf borderId="7" fillId="0" fontId="3" numFmtId="0" xfId="0" applyBorder="1" applyFont="1"/>
    <xf borderId="8" fillId="0" fontId="3" numFmtId="0" xfId="0" applyBorder="1" applyFont="1"/>
    <xf borderId="0" fillId="0" fontId="0" numFmtId="0" xfId="0" applyAlignment="1" applyFont="1">
      <alignment horizontal="right"/>
    </xf>
    <xf borderId="9" fillId="2" fontId="2" numFmtId="1" xfId="0" applyBorder="1" applyFont="1" applyNumberFormat="1"/>
    <xf borderId="9" fillId="2" fontId="2" numFmtId="0" xfId="0" applyBorder="1" applyFont="1"/>
    <xf borderId="9" fillId="2" fontId="2" numFmtId="2" xfId="0" applyBorder="1" applyFont="1" applyNumberFormat="1"/>
    <xf borderId="0" fillId="0" fontId="0" numFmtId="0" xfId="0" applyAlignment="1" applyFont="1">
      <alignment horizontal="left"/>
    </xf>
    <xf borderId="9" fillId="2" fontId="2" numFmtId="1" xfId="0" applyAlignment="1" applyBorder="1" applyFont="1" applyNumberFormat="1">
      <alignment horizontal="right"/>
    </xf>
    <xf quotePrefix="1" borderId="9" fillId="2" fontId="2" numFmtId="0" xfId="0" applyBorder="1" applyFont="1"/>
    <xf borderId="0" fillId="0" fontId="0" numFmtId="0" xfId="0" applyAlignment="1" applyFont="1">
      <alignment horizontal="center"/>
    </xf>
    <xf borderId="0" fillId="0" fontId="4" numFmtId="0" xfId="0" applyAlignment="1" applyFont="1">
      <alignment vertical="top"/>
    </xf>
    <xf borderId="0" fillId="0" fontId="5" numFmtId="0" xfId="0" applyAlignment="1" applyFont="1">
      <alignment horizontal="left" shrinkToFit="0" vertical="top" wrapText="1"/>
    </xf>
    <xf borderId="9" fillId="2" fontId="2" numFmtId="0" xfId="0" applyAlignment="1" applyBorder="1" applyFont="1">
      <alignment horizontal="right"/>
    </xf>
    <xf borderId="0" fillId="0" fontId="5" numFmtId="0" xfId="0" applyAlignment="1" applyFont="1">
      <alignment shrinkToFit="0" vertical="top" wrapText="1"/>
    </xf>
    <xf borderId="0" fillId="0" fontId="2" numFmtId="0" xfId="0" applyFont="1"/>
    <xf borderId="10" fillId="3" fontId="0" numFmtId="0" xfId="0" applyAlignment="1" applyBorder="1" applyFill="1" applyFont="1">
      <alignment shrinkToFit="0" vertical="top" wrapText="1"/>
    </xf>
    <xf borderId="11" fillId="3" fontId="6" numFmtId="0" xfId="0" applyAlignment="1" applyBorder="1" applyFont="1">
      <alignment horizontal="right" vertical="center"/>
    </xf>
    <xf borderId="11" fillId="3" fontId="6" numFmtId="0" xfId="0" applyAlignment="1" applyBorder="1" applyFont="1">
      <alignment shrinkToFit="0" vertical="center" wrapText="1"/>
    </xf>
    <xf borderId="12" fillId="3" fontId="0" numFmtId="0" xfId="0" applyBorder="1" applyFont="1"/>
    <xf borderId="0" fillId="0" fontId="0" numFmtId="0" xfId="0" applyAlignment="1" applyFont="1">
      <alignment shrinkToFit="0" vertical="top" wrapText="1"/>
    </xf>
    <xf borderId="13" fillId="3" fontId="7" numFmtId="0" xfId="0" applyAlignment="1" applyBorder="1" applyFont="1">
      <alignment horizontal="center" vertical="center"/>
    </xf>
    <xf borderId="14" fillId="0" fontId="3" numFmtId="0" xfId="0" applyBorder="1" applyFont="1"/>
    <xf borderId="10" fillId="3" fontId="7" numFmtId="0" xfId="0" applyAlignment="1" applyBorder="1" applyFont="1">
      <alignment vertical="center"/>
    </xf>
    <xf borderId="11" fillId="3" fontId="6" numFmtId="0" xfId="0" applyAlignment="1" applyBorder="1" applyFont="1">
      <alignment horizontal="center" vertical="center"/>
    </xf>
    <xf borderId="12" fillId="3" fontId="6" numFmtId="0" xfId="0" applyAlignment="1" applyBorder="1" applyFont="1">
      <alignment horizontal="left" vertical="center"/>
    </xf>
    <xf borderId="13" fillId="4" fontId="8" numFmtId="0" xfId="0" applyAlignment="1" applyBorder="1" applyFill="1" applyFont="1">
      <alignment horizontal="center" vertical="center"/>
    </xf>
    <xf borderId="15" fillId="0" fontId="0" numFmtId="0" xfId="0" applyAlignment="1" applyBorder="1" applyFont="1">
      <alignment vertical="center"/>
    </xf>
    <xf borderId="0" fillId="0" fontId="9" numFmtId="0" xfId="0" applyFont="1"/>
    <xf borderId="4" fillId="0" fontId="9" numFmtId="0" xfId="0" applyBorder="1" applyFont="1"/>
    <xf borderId="16" fillId="5" fontId="10" numFmtId="0" xfId="0" applyAlignment="1" applyBorder="1" applyFill="1" applyFont="1">
      <alignment horizontal="center" shrinkToFit="0" vertical="center" wrapText="1"/>
    </xf>
    <xf borderId="17" fillId="5" fontId="11" numFmtId="0" xfId="0" applyAlignment="1" applyBorder="1" applyFont="1">
      <alignment horizontal="center" vertical="center"/>
    </xf>
    <xf borderId="18" fillId="0" fontId="3" numFmtId="0" xfId="0" applyBorder="1" applyFont="1"/>
    <xf borderId="19" fillId="0" fontId="3" numFmtId="0" xfId="0" applyBorder="1" applyFont="1"/>
    <xf borderId="20" fillId="5" fontId="10" numFmtId="0" xfId="0" applyAlignment="1" applyBorder="1" applyFont="1">
      <alignment horizontal="center" shrinkToFit="0" vertical="center" wrapText="1"/>
    </xf>
    <xf borderId="21" fillId="5" fontId="10" numFmtId="0" xfId="0" applyAlignment="1" applyBorder="1" applyFont="1">
      <alignment horizontal="center" shrinkToFit="0" vertical="center" wrapText="1"/>
    </xf>
    <xf borderId="22" fillId="0" fontId="9" numFmtId="0" xfId="0" applyBorder="1" applyFont="1"/>
    <xf borderId="0" fillId="0" fontId="0" numFmtId="0" xfId="0" applyAlignment="1" applyFont="1">
      <alignment horizontal="center" shrinkToFit="0" vertical="center" wrapText="1"/>
    </xf>
    <xf borderId="23" fillId="0" fontId="3" numFmtId="0" xfId="0" applyBorder="1" applyFont="1"/>
    <xf borderId="24" fillId="5" fontId="12" numFmtId="0" xfId="0" applyAlignment="1" applyBorder="1" applyFont="1">
      <alignment horizontal="center"/>
    </xf>
    <xf borderId="25" fillId="5" fontId="12" numFmtId="0" xfId="0" applyAlignment="1" applyBorder="1" applyFont="1">
      <alignment horizontal="center"/>
    </xf>
    <xf borderId="26" fillId="5" fontId="12" numFmtId="0" xfId="0" applyAlignment="1" applyBorder="1" applyFont="1">
      <alignment horizontal="center"/>
    </xf>
    <xf borderId="27" fillId="0" fontId="3" numFmtId="0" xfId="0" applyBorder="1" applyFont="1"/>
    <xf borderId="28" fillId="0" fontId="3" numFmtId="0" xfId="0" applyBorder="1" applyFont="1"/>
    <xf borderId="29" fillId="3" fontId="9" numFmtId="0" xfId="0" applyAlignment="1" applyBorder="1" applyFont="1">
      <alignment horizontal="center"/>
    </xf>
    <xf borderId="30" fillId="3" fontId="9" numFmtId="0" xfId="0" applyAlignment="1" applyBorder="1" applyFont="1">
      <alignment horizontal="center"/>
    </xf>
    <xf borderId="31" fillId="3" fontId="9" numFmtId="0" xfId="0" applyAlignment="1" applyBorder="1" applyFont="1">
      <alignment horizontal="center"/>
    </xf>
    <xf borderId="32" fillId="3" fontId="9" numFmtId="0" xfId="0" applyAlignment="1" applyBorder="1" applyFont="1">
      <alignment horizontal="center"/>
    </xf>
    <xf borderId="33" fillId="3" fontId="9" numFmtId="0" xfId="0" applyAlignment="1" applyBorder="1" applyFont="1">
      <alignment horizontal="center"/>
    </xf>
    <xf borderId="34" fillId="3" fontId="9" numFmtId="164" xfId="0" applyAlignment="1" applyBorder="1" applyFont="1" applyNumberFormat="1">
      <alignment horizontal="center"/>
    </xf>
    <xf borderId="35" fillId="3" fontId="9" numFmtId="0" xfId="0" applyAlignment="1" applyBorder="1" applyFont="1">
      <alignment horizontal="center"/>
    </xf>
    <xf borderId="0" fillId="0" fontId="9" numFmtId="0" xfId="0" applyAlignment="1" applyFont="1">
      <alignment horizontal="center"/>
    </xf>
    <xf borderId="0" fillId="0" fontId="9" numFmtId="1" xfId="0" applyAlignment="1" applyFont="1" applyNumberFormat="1">
      <alignment horizontal="center"/>
    </xf>
    <xf borderId="36" fillId="3" fontId="9" numFmtId="0" xfId="0" applyAlignment="1" applyBorder="1" applyFont="1">
      <alignment horizontal="center"/>
    </xf>
    <xf borderId="37" fillId="3" fontId="9" numFmtId="0" xfId="0" applyAlignment="1" applyBorder="1" applyFont="1">
      <alignment horizontal="center"/>
    </xf>
    <xf borderId="38" fillId="3" fontId="9" numFmtId="0" xfId="0" applyAlignment="1" applyBorder="1" applyFont="1">
      <alignment horizontal="center"/>
    </xf>
    <xf borderId="39" fillId="3" fontId="9" numFmtId="0" xfId="0" applyAlignment="1" applyBorder="1" applyFont="1">
      <alignment horizontal="center"/>
    </xf>
    <xf borderId="40" fillId="3" fontId="9" numFmtId="0" xfId="0" applyAlignment="1" applyBorder="1" applyFont="1">
      <alignment horizontal="center"/>
    </xf>
    <xf borderId="41" fillId="3" fontId="9" numFmtId="0" xfId="0" applyAlignment="1" applyBorder="1" applyFont="1">
      <alignment horizontal="center"/>
    </xf>
    <xf borderId="26" fillId="3" fontId="9" numFmtId="0" xfId="0" applyAlignment="1" applyBorder="1" applyFont="1">
      <alignment horizontal="center"/>
    </xf>
    <xf borderId="42" fillId="0" fontId="0" numFmtId="0" xfId="0" applyBorder="1" applyFont="1"/>
    <xf borderId="15" fillId="0" fontId="0" numFmtId="0" xfId="0" applyAlignment="1" applyBorder="1" applyFont="1">
      <alignment horizontal="center"/>
    </xf>
    <xf borderId="15" fillId="0" fontId="0" numFmtId="0" xfId="0" applyBorder="1" applyFont="1"/>
    <xf borderId="43" fillId="0" fontId="0" numFmtId="0" xfId="0" applyBorder="1" applyFont="1"/>
    <xf borderId="0" fillId="0" fontId="0" numFmtId="0" xfId="0" applyAlignment="1" applyFont="1">
      <alignment horizontal="right" vertical="top"/>
    </xf>
    <xf borderId="0" fillId="0" fontId="0" numFmtId="0" xfId="0" applyAlignment="1" applyFont="1">
      <alignment horizontal="left" shrinkToFit="0" vertical="top" wrapText="1"/>
    </xf>
    <xf borderId="0" fillId="0" fontId="13" numFmtId="0" xfId="0" applyFont="1"/>
    <xf borderId="0" fillId="0" fontId="0" numFmtId="0" xfId="0" applyAlignment="1" applyFont="1">
      <alignment horizontal="right" shrinkToFit="0" vertical="top" wrapText="1"/>
    </xf>
    <xf borderId="0" fillId="0" fontId="0" numFmtId="0" xfId="0" applyAlignment="1" applyFont="1">
      <alignment horizontal="center" vertical="top"/>
    </xf>
    <xf borderId="0" fillId="0" fontId="0" numFmtId="165" xfId="0" applyAlignment="1" applyFont="1" applyNumberFormat="1">
      <alignment shrinkToFit="0" vertical="top" wrapText="1"/>
    </xf>
    <xf borderId="0" fillId="0" fontId="0" numFmtId="0" xfId="0" applyAlignment="1" applyFont="1">
      <alignment vertical="top"/>
    </xf>
    <xf borderId="0" fillId="0" fontId="0" numFmtId="164" xfId="0" applyAlignment="1" applyFont="1" applyNumberFormat="1">
      <alignment horizontal="right" vertical="top"/>
    </xf>
    <xf borderId="0" fillId="0" fontId="0" numFmtId="2" xfId="0" applyAlignment="1" applyFont="1" applyNumberFormat="1">
      <alignment horizontal="center" vertical="top"/>
    </xf>
    <xf borderId="0" fillId="0" fontId="0" numFmtId="0" xfId="0" applyAlignment="1" applyFont="1">
      <alignment horizontal="center" shrinkToFit="0" vertical="top" wrapText="1"/>
    </xf>
    <xf borderId="0" fillId="0" fontId="0" numFmtId="9" xfId="0" applyAlignment="1" applyFont="1" applyNumberFormat="1">
      <alignment shrinkToFit="0" vertical="top" wrapText="1"/>
    </xf>
    <xf borderId="0" fillId="0" fontId="0" numFmtId="164" xfId="0" applyAlignment="1" applyFont="1" applyNumberFormat="1">
      <alignment horizontal="center" shrinkToFit="0" vertical="top" wrapText="1"/>
    </xf>
  </cellXfs>
  <cellStyles count="1">
    <cellStyle xfId="0" name="Normal" builtinId="0"/>
  </cellStyles>
  <dxfs count="4">
    <dxf>
      <font>
        <color rgb="FFFFFFFF"/>
      </font>
      <fill>
        <patternFill patternType="none"/>
      </fill>
      <border/>
    </dxf>
    <dxf>
      <font>
        <strike/>
        <color rgb="FFFFFFFF"/>
      </font>
      <fill>
        <patternFill patternType="solid">
          <fgColor rgb="FFFF0000"/>
          <bgColor rgb="FFFF0000"/>
        </patternFill>
      </fill>
      <border/>
    </dxf>
    <dxf>
      <font>
        <color rgb="FF000000"/>
      </font>
      <fill>
        <patternFill patternType="solid">
          <fgColor rgb="FFFFC000"/>
          <bgColor rgb="FFFFC000"/>
        </patternFill>
      </fill>
      <border/>
    </dxf>
    <dxf>
      <font>
        <color rgb="FF000000"/>
      </font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133350</xdr:colOff>
      <xdr:row>5</xdr:row>
      <xdr:rowOff>47625</xdr:rowOff>
    </xdr:from>
    <xdr:ext cx="247650" cy="95250"/>
    <xdr:sp macro="" textlink="">
      <xdr:nvSpPr>
        <xdr:cNvPr id="10" name="Down Arrow 9">
          <a:extLst>
            <a:ext uri="{FF2B5EF4-FFF2-40B4-BE49-F238E27FC236}"/>
          </a:extLst>
        </xdr:cNvPr>
        <xdr:cNvSpPr>
          <a:spLocks noChangeAspect="1"/>
        </xdr:cNvSpPr>
      </xdr:nvSpPr>
      <xdr:spPr>
        <a:xfrm>
          <a:off x="2273300" y="234950"/>
          <a:ext cx="254000" cy="101600"/>
        </a:xfrm>
        <a:prstGeom prst="downArrow">
          <a:avLst/>
        </a:prstGeom>
        <a:solidFill>
          <a:schemeClr val="bg1"/>
        </a:solidFill>
        <a:ln cap="flat" cmpd="sng" w="12700" algn="ctr">
          <a:solidFill>
            <a:srgbClr val="00B05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anchor="t" rtlCol="0" horzOverflow="clip" vertOverflow="clip"/>
        <a:lstStyle/>
        <a:p>
          <a:pPr lvl="0" algn="l"/>
          <a:endParaRPr lang="en-MY" sz="1100"/>
        </a:p>
      </xdr:txBody>
    </xdr:sp>
    <xdr:clientData fLocksWithSheet="0"/>
  </xdr:oneCellAnchor>
  <xdr:oneCellAnchor>
    <xdr:from>
      <xdr:col>7</xdr:col>
      <xdr:colOff>447675</xdr:colOff>
      <xdr:row>2</xdr:row>
      <xdr:rowOff>57150</xdr:rowOff>
    </xdr:from>
    <xdr:ext cx="6810375" cy="1619250"/>
    <xdr:grpSp>
      <xdr:nvGrpSpPr>
        <xdr:cNvPr id="21" name="Group 20">
          <a:extLst>
            <a:ext uri="{FF2B5EF4-FFF2-40B4-BE49-F238E27FC236}"/>
          </a:extLst>
        </xdr:cNvPr>
        <xdr:cNvGrpSpPr/>
      </xdr:nvGrpSpPr>
      <xdr:grpSpPr>
        <a:xfrm>
          <a:off x="4082658" y="330656"/>
          <a:ext cx="7232045" cy="1987094"/>
          <a:chOff x="2639932" y="1088869"/>
          <a:chExt cx="6062861" cy="1671163"/>
        </a:xfrm>
      </xdr:grpSpPr>
      <xdr:pic>
        <xdr:nvPicPr>
          <xdr:cNvPr id="22" name="Picture 21">
            <a:extLst>
              <a:ext uri="{FF2B5EF4-FFF2-40B4-BE49-F238E27FC236}"/>
            </a:extLst>
          </xdr:cNvPr>
          <xdr:cNvPicPr>
            <a:picLocks noChangeAspect="1"/>
          </xdr:cNvPicPr>
        </xdr:nvPicPr>
        <xdr:blipFill>
          <a:blip cstate="print" r:embed="rId1">
            <a:extLst>
              <a:ext uri="{28A0092B-C50C-407E-A947-70E740481C1C}"/>
            </a:extLst>
          </a:blip>
          <a:stretch>
            <a:fillRect/>
          </a:stretch>
        </xdr:blipFill>
        <xdr:spPr>
          <a:xfrm>
            <a:off x="5368376" y="1392156"/>
            <a:ext cx="1250662" cy="1335524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/>
            </a:extLst>
          </xdr:cNvPr>
          <xdr:cNvPicPr>
            <a:picLocks noChangeAspect="1"/>
          </xdr:cNvPicPr>
        </xdr:nvPicPr>
        <xdr:blipFill>
          <a:blip cstate="print" r:embed="rId2">
            <a:extLst>
              <a:ext uri="{28A0092B-C50C-407E-A947-70E740481C1C}"/>
            </a:extLst>
          </a:blip>
          <a:stretch>
            <a:fillRect/>
          </a:stretch>
        </xdr:blipFill>
        <xdr:spPr>
          <a:xfrm>
            <a:off x="2639932" y="1752532"/>
            <a:ext cx="2499360" cy="941832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/>
            </a:extLst>
          </xdr:cNvPr>
          <xdr:cNvPicPr>
            <a:picLocks noChangeAspect="1"/>
          </xdr:cNvPicPr>
        </xdr:nvPicPr>
        <xdr:blipFill>
          <a:blip cstate="print" r:embed="rId3">
            <a:extLst>
              <a:ext uri="{28A0092B-C50C-407E-A947-70E740481C1C}"/>
            </a:extLst>
          </a:blip>
          <a:stretch>
            <a:fillRect/>
          </a:stretch>
        </xdr:blipFill>
        <xdr:spPr>
          <a:xfrm>
            <a:off x="6755927" y="1507054"/>
            <a:ext cx="955331" cy="1252978"/>
          </a:xfrm>
          <a:prstGeom prst="rect">
            <a:avLst/>
          </a:prstGeom>
        </xdr:spPr>
      </xdr:pic>
      <xdr:pic>
        <xdr:nvPicPr>
          <xdr:cNvPr id="25" name="Picture 24">
            <a:extLst>
              <a:ext uri="{FF2B5EF4-FFF2-40B4-BE49-F238E27FC236}"/>
            </a:extLst>
          </xdr:cNvPr>
          <xdr:cNvPicPr>
            <a:picLocks noChangeAspect="1"/>
          </xdr:cNvPicPr>
        </xdr:nvPicPr>
        <xdr:blipFill>
          <a:blip cstate="print" r:embed="rId4">
            <a:extLst>
              <a:ext uri="{28A0092B-C50C-407E-A947-70E740481C1C}"/>
            </a:extLst>
          </a:blip>
          <a:stretch>
            <a:fillRect/>
          </a:stretch>
        </xdr:blipFill>
        <xdr:spPr>
          <a:xfrm>
            <a:off x="7814408" y="1547644"/>
            <a:ext cx="872086" cy="1104546"/>
          </a:xfrm>
          <a:prstGeom prst="rect">
            <a:avLst/>
          </a:prstGeom>
        </xdr:spPr>
      </xdr:pic>
      <xdr:sp macro="" textlink="">
        <xdr:nvSpPr>
          <xdr:cNvPr id="26" name="TextBox 9">
            <a:extLst>
              <a:ext uri="{FF2B5EF4-FFF2-40B4-BE49-F238E27FC236}"/>
            </a:extLst>
          </xdr:cNvPr>
          <xdr:cNvSpPr txBox="1"/>
        </xdr:nvSpPr>
        <xdr:spPr>
          <a:xfrm>
            <a:off x="5307862" y="1088869"/>
            <a:ext cx="834294" cy="347883"/>
          </a:xfrm>
          <a:prstGeom prst="rect">
            <a:avLst/>
          </a:prstGeom>
          <a:noFill/>
        </xdr:spPr>
        <xdr:txBody>
          <a:bodyPr rtlCol="0" wrap="square">
            <a:spAutoFit/>
          </a:bodyPr>
          <a:lstStyle>
            <a:defPPr lvl="0">
              <a:defRPr lang="en-US"/>
            </a:defPPr>
            <a:lvl1pPr defTabSz="914400" eaLnBrk="1" hangingPunct="1" latinLnBrk="0" lvl="0" marL="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defTabSz="914400" eaLnBrk="1" hangingPunct="1" latinLnBrk="0" lvl="1" marL="4572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defTabSz="914400" eaLnBrk="1" hangingPunct="1" latinLnBrk="0" lvl="2" marL="9144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defTabSz="914400" eaLnBrk="1" hangingPunct="1" latinLnBrk="0" lvl="3" marL="13716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defTabSz="914400" eaLnBrk="1" hangingPunct="1" latinLnBrk="0" lvl="4" marL="18288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defTabSz="914400" eaLnBrk="1" hangingPunct="1" latinLnBrk="0" lvl="5" marL="22860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defTabSz="914400" eaLnBrk="1" hangingPunct="1" latinLnBrk="0" lvl="6" marL="27432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defTabSz="914400" eaLnBrk="1" hangingPunct="1" latinLnBrk="0" lvl="7" marL="32004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defTabSz="914400" eaLnBrk="1" hangingPunct="1" latinLnBrk="0" lvl="8" marL="36576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b="1" lang="en-US" sz="1000"/>
              <a:t>Power Factor Controller</a:t>
            </a:r>
          </a:p>
        </xdr:txBody>
      </xdr:sp>
      <xdr:sp macro="" textlink="">
        <xdr:nvSpPr>
          <xdr:cNvPr id="27" name="TextBox 10">
            <a:extLst>
              <a:ext uri="{FF2B5EF4-FFF2-40B4-BE49-F238E27FC236}"/>
            </a:extLst>
          </xdr:cNvPr>
          <xdr:cNvSpPr txBox="1"/>
        </xdr:nvSpPr>
        <xdr:spPr>
          <a:xfrm>
            <a:off x="6844676" y="1181317"/>
            <a:ext cx="837549" cy="347883"/>
          </a:xfrm>
          <a:prstGeom prst="rect">
            <a:avLst/>
          </a:prstGeom>
          <a:noFill/>
        </xdr:spPr>
        <xdr:txBody>
          <a:bodyPr rtlCol="0" wrap="square">
            <a:spAutoFit/>
          </a:bodyPr>
          <a:lstStyle>
            <a:defPPr lvl="0">
              <a:defRPr lang="en-US"/>
            </a:defPPr>
            <a:lvl1pPr defTabSz="914400" eaLnBrk="1" hangingPunct="1" latinLnBrk="0" lvl="0" marL="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defTabSz="914400" eaLnBrk="1" hangingPunct="1" latinLnBrk="0" lvl="1" marL="4572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defTabSz="914400" eaLnBrk="1" hangingPunct="1" latinLnBrk="0" lvl="2" marL="9144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defTabSz="914400" eaLnBrk="1" hangingPunct="1" latinLnBrk="0" lvl="3" marL="13716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defTabSz="914400" eaLnBrk="1" hangingPunct="1" latinLnBrk="0" lvl="4" marL="18288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defTabSz="914400" eaLnBrk="1" hangingPunct="1" latinLnBrk="0" lvl="5" marL="22860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defTabSz="914400" eaLnBrk="1" hangingPunct="1" latinLnBrk="0" lvl="6" marL="27432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defTabSz="914400" eaLnBrk="1" hangingPunct="1" latinLnBrk="0" lvl="7" marL="32004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defTabSz="914400" eaLnBrk="1" hangingPunct="1" latinLnBrk="0" lvl="8" marL="36576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b="1" lang="en-US" sz="1000"/>
              <a:t>Power Quality Analyzer</a:t>
            </a:r>
          </a:p>
        </xdr:txBody>
      </xdr:sp>
      <xdr:sp macro="" textlink="">
        <xdr:nvSpPr>
          <xdr:cNvPr id="28" name="TextBox 11">
            <a:extLst>
              <a:ext uri="{FF2B5EF4-FFF2-40B4-BE49-F238E27FC236}"/>
            </a:extLst>
          </xdr:cNvPr>
          <xdr:cNvSpPr txBox="1"/>
        </xdr:nvSpPr>
        <xdr:spPr>
          <a:xfrm>
            <a:off x="7970630" y="1199741"/>
            <a:ext cx="732163" cy="347883"/>
          </a:xfrm>
          <a:prstGeom prst="rect">
            <a:avLst/>
          </a:prstGeom>
          <a:noFill/>
        </xdr:spPr>
        <xdr:txBody>
          <a:bodyPr rtlCol="0" wrap="square">
            <a:spAutoFit/>
          </a:bodyPr>
          <a:lstStyle>
            <a:defPPr lvl="0">
              <a:defRPr lang="en-US"/>
            </a:defPPr>
            <a:lvl1pPr defTabSz="914400" eaLnBrk="1" hangingPunct="1" latinLnBrk="0" lvl="0" marL="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defTabSz="914400" eaLnBrk="1" hangingPunct="1" latinLnBrk="0" lvl="1" marL="4572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defTabSz="914400" eaLnBrk="1" hangingPunct="1" latinLnBrk="0" lvl="2" marL="9144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defTabSz="914400" eaLnBrk="1" hangingPunct="1" latinLnBrk="0" lvl="3" marL="13716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defTabSz="914400" eaLnBrk="1" hangingPunct="1" latinLnBrk="0" lvl="4" marL="18288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defTabSz="914400" eaLnBrk="1" hangingPunct="1" latinLnBrk="0" lvl="5" marL="22860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defTabSz="914400" eaLnBrk="1" hangingPunct="1" latinLnBrk="0" lvl="6" marL="27432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defTabSz="914400" eaLnBrk="1" hangingPunct="1" latinLnBrk="0" lvl="7" marL="32004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defTabSz="914400" eaLnBrk="1" hangingPunct="1" latinLnBrk="0" lvl="8" marL="36576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b="1" lang="en-US" sz="1000"/>
              <a:t>Protection Relay</a:t>
            </a:r>
          </a:p>
        </xdr:txBody>
      </xdr:sp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0"/>
    <col customWidth="1" min="2" max="2" width="4.43"/>
    <col customWidth="1" min="3" max="3" width="14.71"/>
    <col customWidth="1" min="4" max="17" width="7.29"/>
    <col customWidth="1" min="18" max="18" width="8.71"/>
    <col customWidth="1" min="19" max="19" width="9.29"/>
    <col customWidth="1" min="20" max="20" width="9.43"/>
    <col customWidth="1" min="21" max="21" width="14.0"/>
    <col customWidth="1" min="22" max="22" width="4.43"/>
    <col customWidth="1" min="23" max="23" width="4.71"/>
    <col customWidth="1" hidden="1" min="24" max="30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V1" s="1"/>
      <c r="W1" s="1"/>
      <c r="X1" s="1"/>
      <c r="Y1" s="1"/>
      <c r="Z1" s="1"/>
      <c r="AA1" s="1"/>
      <c r="AB1" s="1"/>
      <c r="AC1" s="1"/>
      <c r="AD1" s="1"/>
    </row>
    <row r="2" ht="5.2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4"/>
      <c r="W2" s="1"/>
      <c r="X2" s="1"/>
      <c r="Y2" s="1"/>
      <c r="Z2" s="1"/>
      <c r="AA2" s="1"/>
      <c r="AB2" s="1"/>
      <c r="AC2" s="1"/>
      <c r="AD2" s="1"/>
    </row>
    <row r="3">
      <c r="A3" s="1"/>
      <c r="B3" s="5"/>
      <c r="C3" s="6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1"/>
      <c r="V3" s="7"/>
      <c r="W3" s="1"/>
      <c r="X3" s="1"/>
      <c r="Y3" s="1"/>
      <c r="Z3" s="1"/>
      <c r="AA3" s="1"/>
      <c r="AB3" s="1"/>
      <c r="AC3" s="1"/>
      <c r="AD3" s="1"/>
    </row>
    <row r="4">
      <c r="A4" s="1"/>
      <c r="B4" s="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7"/>
      <c r="W4" s="1"/>
      <c r="X4" s="1"/>
      <c r="Y4" s="1"/>
      <c r="Z4" s="1"/>
      <c r="AA4" s="1"/>
      <c r="AB4" s="1"/>
      <c r="AC4" s="1"/>
      <c r="AD4" s="1"/>
    </row>
    <row r="5">
      <c r="A5" s="1"/>
      <c r="B5" s="5"/>
      <c r="C5" s="1"/>
      <c r="D5" s="8" t="s">
        <v>1</v>
      </c>
      <c r="E5" s="9"/>
      <c r="F5" s="1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7"/>
      <c r="W5" s="1"/>
      <c r="X5" s="1"/>
      <c r="Y5" s="1"/>
      <c r="Z5" s="1"/>
      <c r="AA5" s="1"/>
      <c r="AB5" s="1"/>
      <c r="AC5" s="1"/>
      <c r="AD5" s="1"/>
    </row>
    <row r="6">
      <c r="A6" s="1"/>
      <c r="B6" s="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7"/>
      <c r="W6" s="1"/>
      <c r="X6" s="1"/>
      <c r="Y6" s="1"/>
      <c r="Z6" s="1"/>
      <c r="AA6" s="1"/>
      <c r="AB6" s="1"/>
      <c r="AC6" s="1"/>
      <c r="AD6" s="1"/>
    </row>
    <row r="7" ht="17.25" customHeight="1">
      <c r="A7" s="1"/>
      <c r="B7" s="5"/>
      <c r="C7" s="1"/>
      <c r="D7" s="11" t="s">
        <v>2</v>
      </c>
      <c r="E7" s="12">
        <v>800.0</v>
      </c>
      <c r="F7" s="13" t="s">
        <v>3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7"/>
      <c r="W7" s="1"/>
      <c r="X7" s="1"/>
      <c r="Y7" s="1"/>
      <c r="Z7" s="1"/>
      <c r="AA7" s="1"/>
      <c r="AB7" s="1"/>
      <c r="AC7" s="1"/>
      <c r="AD7" s="1"/>
    </row>
    <row r="8" ht="17.25" customHeight="1">
      <c r="A8" s="1"/>
      <c r="B8" s="5"/>
      <c r="C8" s="1"/>
      <c r="D8" s="11" t="s">
        <v>4</v>
      </c>
      <c r="E8" s="14">
        <v>0.7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7"/>
      <c r="W8" s="1"/>
      <c r="X8" s="1"/>
      <c r="Y8" s="1"/>
      <c r="Z8" s="1"/>
      <c r="AA8" s="1"/>
      <c r="AB8" s="1"/>
      <c r="AC8" s="1"/>
      <c r="AD8" s="1"/>
    </row>
    <row r="9" ht="17.25" customHeight="1">
      <c r="A9" s="1"/>
      <c r="B9" s="5"/>
      <c r="C9" s="1"/>
      <c r="D9" s="11" t="s">
        <v>5</v>
      </c>
      <c r="E9" s="14">
        <v>0.92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7"/>
      <c r="W9" s="1"/>
      <c r="X9" s="1"/>
      <c r="Y9" s="1"/>
      <c r="Z9" s="1"/>
      <c r="AA9" s="1"/>
      <c r="AB9" s="1"/>
      <c r="AC9" s="1"/>
      <c r="AD9" s="1"/>
    </row>
    <row r="10" ht="17.25" customHeight="1">
      <c r="A10" s="1"/>
      <c r="B10" s="5"/>
      <c r="C10" s="1"/>
      <c r="D10" s="11" t="s">
        <v>6</v>
      </c>
      <c r="E10" s="12">
        <v>80.0</v>
      </c>
      <c r="F10" s="13" t="s">
        <v>7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7"/>
      <c r="W10" s="1"/>
      <c r="X10" s="1"/>
      <c r="Y10" s="1"/>
      <c r="Z10" s="1"/>
      <c r="AA10" s="1"/>
      <c r="AB10" s="1"/>
      <c r="AC10" s="1"/>
      <c r="AD10" s="1"/>
    </row>
    <row r="11" ht="17.25" customHeight="1">
      <c r="A11" s="1"/>
      <c r="B11" s="5"/>
      <c r="C11" s="1"/>
      <c r="D11" s="11" t="s">
        <v>8</v>
      </c>
      <c r="E11" s="11" t="str">
        <f>CONCATENATE(J49," -")</f>
        <v>1200 -</v>
      </c>
      <c r="F11" s="15" t="str">
        <f>J50</f>
        <v>1500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7"/>
      <c r="W11" s="1"/>
      <c r="X11" s="1"/>
      <c r="Y11" s="1"/>
      <c r="Z11" s="1"/>
      <c r="AA11" s="1"/>
      <c r="AB11" s="1"/>
      <c r="AC11" s="1"/>
      <c r="AD11" s="1"/>
    </row>
    <row r="12" ht="17.25" customHeight="1">
      <c r="A12" s="1"/>
      <c r="B12" s="5"/>
      <c r="C12" s="1"/>
      <c r="D12" s="11" t="s">
        <v>9</v>
      </c>
      <c r="E12" s="16" t="s">
        <v>10</v>
      </c>
      <c r="F12" s="17" t="s">
        <v>11</v>
      </c>
      <c r="G12" s="1"/>
      <c r="H12" s="18"/>
      <c r="I12" s="19" t="s">
        <v>12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7"/>
      <c r="W12" s="1"/>
      <c r="X12" s="1"/>
      <c r="Y12" s="1"/>
      <c r="Z12" s="1"/>
      <c r="AA12" s="1"/>
      <c r="AB12" s="1"/>
      <c r="AC12" s="1"/>
      <c r="AD12" s="1"/>
    </row>
    <row r="13" ht="17.25" customHeight="1">
      <c r="A13" s="1"/>
      <c r="B13" s="5"/>
      <c r="C13" s="1"/>
      <c r="D13" s="11" t="s">
        <v>13</v>
      </c>
      <c r="E13" s="12">
        <v>450.0</v>
      </c>
      <c r="F13" s="13" t="s">
        <v>14</v>
      </c>
      <c r="G13" s="1"/>
      <c r="H13" s="1"/>
      <c r="I13" s="20" t="s">
        <v>15</v>
      </c>
      <c r="T13" s="1"/>
      <c r="U13" s="1"/>
      <c r="V13" s="7"/>
      <c r="W13" s="1"/>
      <c r="X13" s="1"/>
      <c r="Y13" s="1"/>
      <c r="Z13" s="1"/>
      <c r="AA13" s="1"/>
      <c r="AB13" s="1"/>
      <c r="AC13" s="1"/>
      <c r="AD13" s="1"/>
    </row>
    <row r="14" ht="17.25" customHeight="1">
      <c r="A14" s="1"/>
      <c r="B14" s="5"/>
      <c r="C14" s="1"/>
      <c r="D14" s="11" t="s">
        <v>16</v>
      </c>
      <c r="E14" s="12">
        <v>415.0</v>
      </c>
      <c r="F14" s="13" t="s">
        <v>14</v>
      </c>
      <c r="G14" s="1"/>
      <c r="H14" s="1"/>
      <c r="T14" s="1"/>
      <c r="U14" s="1"/>
      <c r="V14" s="7"/>
      <c r="W14" s="1"/>
      <c r="X14" s="1"/>
      <c r="Y14" s="1"/>
      <c r="Z14" s="1"/>
      <c r="AA14" s="1"/>
      <c r="AB14" s="1"/>
      <c r="AC14" s="1"/>
      <c r="AD14" s="1"/>
    </row>
    <row r="15" ht="17.25" customHeight="1">
      <c r="A15" s="1"/>
      <c r="B15" s="5"/>
      <c r="C15" s="1"/>
      <c r="D15" s="11" t="s">
        <v>17</v>
      </c>
      <c r="E15" s="21" t="s">
        <v>10</v>
      </c>
      <c r="F15" s="13" t="str">
        <f>IF(E15="Auto","","kVar")</f>
        <v/>
      </c>
      <c r="G15" s="1"/>
      <c r="H15" s="1"/>
      <c r="I15" s="19" t="s">
        <v>18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1"/>
      <c r="U15" s="1"/>
      <c r="V15" s="7"/>
      <c r="W15" s="1"/>
      <c r="X15" s="1"/>
      <c r="Y15" s="1"/>
      <c r="Z15" s="1"/>
      <c r="AA15" s="1"/>
      <c r="AB15" s="1"/>
      <c r="AC15" s="1"/>
      <c r="AD15" s="1"/>
    </row>
    <row r="16" ht="17.25" customHeight="1">
      <c r="A16" s="1"/>
      <c r="B16" s="5"/>
      <c r="C16" s="1"/>
      <c r="D16" s="11" t="s">
        <v>19</v>
      </c>
      <c r="E16" s="21" t="s">
        <v>20</v>
      </c>
      <c r="F16" s="13" t="str">
        <f>IF(E16="None","","%")</f>
        <v/>
      </c>
      <c r="G16" s="1"/>
      <c r="H16" s="1"/>
      <c r="I16" s="20" t="s">
        <v>21</v>
      </c>
      <c r="T16" s="1"/>
      <c r="U16" s="1"/>
      <c r="V16" s="7"/>
      <c r="W16" s="1"/>
      <c r="X16" s="1"/>
      <c r="Y16" s="1"/>
      <c r="Z16" s="1"/>
      <c r="AA16" s="1"/>
      <c r="AB16" s="1"/>
      <c r="AC16" s="1"/>
      <c r="AD16" s="1"/>
    </row>
    <row r="17" ht="17.25" customHeight="1">
      <c r="A17" s="1"/>
      <c r="B17" s="5"/>
      <c r="C17" s="1"/>
      <c r="D17" s="11"/>
      <c r="E17" s="1"/>
      <c r="F17" s="23"/>
      <c r="G17" s="1"/>
      <c r="H17" s="22"/>
      <c r="T17" s="1"/>
      <c r="U17" s="1"/>
      <c r="V17" s="7"/>
      <c r="W17" s="1"/>
      <c r="X17" s="1"/>
      <c r="Y17" s="1"/>
      <c r="Z17" s="1" t="s">
        <v>22</v>
      </c>
      <c r="AA17" s="1" t="str">
        <f>IF(L_pct = "None",0,L_pct)</f>
        <v>0</v>
      </c>
      <c r="AB17" s="1"/>
      <c r="AC17" s="1"/>
      <c r="AD17" s="1"/>
    </row>
    <row r="18" ht="17.25" customHeight="1">
      <c r="A18" s="1"/>
      <c r="B18" s="5"/>
      <c r="C18" s="1"/>
      <c r="D18" s="11"/>
      <c r="E18" s="1"/>
      <c r="F18" s="23"/>
      <c r="G18" s="1"/>
      <c r="H18" s="22"/>
      <c r="I18" s="19" t="s">
        <v>23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1"/>
      <c r="U18" s="1"/>
      <c r="V18" s="7"/>
      <c r="W18" s="1"/>
      <c r="X18" s="1"/>
      <c r="Y18" s="1"/>
      <c r="Z18" s="1" t="s">
        <v>24</v>
      </c>
      <c r="AA18" s="1">
        <v>25.0</v>
      </c>
      <c r="AB18" s="1"/>
      <c r="AC18" s="1"/>
      <c r="AD18" s="1"/>
    </row>
    <row r="19" ht="17.25" customHeight="1">
      <c r="A19" s="1"/>
      <c r="B19" s="5"/>
      <c r="C19" s="1"/>
      <c r="D19" s="11"/>
      <c r="E19" s="1"/>
      <c r="F19" s="23"/>
      <c r="G19" s="1"/>
      <c r="H19" s="22"/>
      <c r="I19" s="20" t="s">
        <v>25</v>
      </c>
      <c r="S19" s="1"/>
      <c r="T19" s="1"/>
      <c r="U19" s="1"/>
      <c r="V19" s="7"/>
      <c r="W19" s="1"/>
      <c r="X19" s="1"/>
      <c r="Y19" s="1"/>
      <c r="Z19" s="1" t="s">
        <v>26</v>
      </c>
      <c r="AA19" s="1">
        <v>1.15</v>
      </c>
      <c r="AB19" s="1"/>
      <c r="AC19" s="1"/>
      <c r="AD19" s="1"/>
    </row>
    <row r="20" ht="21.0" customHeight="1">
      <c r="A20" s="1"/>
      <c r="B20" s="5"/>
      <c r="C20" s="24"/>
      <c r="D20" s="25" t="s">
        <v>27</v>
      </c>
      <c r="E20" s="26" t="str">
        <f>CTval</f>
        <v>1500</v>
      </c>
      <c r="F20" s="26" t="s">
        <v>11</v>
      </c>
      <c r="G20" s="27"/>
      <c r="H20" s="22"/>
      <c r="S20" s="28"/>
      <c r="T20" s="29" t="s">
        <v>28</v>
      </c>
      <c r="U20" s="30"/>
      <c r="V20" s="7"/>
      <c r="W20" s="1"/>
      <c r="X20" s="1"/>
      <c r="Y20" s="1"/>
      <c r="Z20" s="1"/>
      <c r="AA20" s="1"/>
      <c r="AB20" s="1"/>
      <c r="AC20" s="1"/>
      <c r="AD20" s="1"/>
    </row>
    <row r="21" ht="21.0" customHeight="1">
      <c r="A21" s="1"/>
      <c r="B21" s="5"/>
      <c r="C21" s="31"/>
      <c r="D21" s="25" t="s">
        <v>29</v>
      </c>
      <c r="E21" s="25" t="str">
        <f>F54</f>
        <v>447</v>
      </c>
      <c r="F21" s="32" t="s">
        <v>30</v>
      </c>
      <c r="G21" s="33" t="str">
        <f>CONCATENATE(Cap_Vr,"V")</f>
        <v>450V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8"/>
      <c r="T21" s="34" t="s">
        <v>31</v>
      </c>
      <c r="U21" s="30"/>
      <c r="V21" s="7"/>
      <c r="W21" s="1"/>
      <c r="X21" s="1"/>
      <c r="Y21" s="1"/>
      <c r="Z21" s="1"/>
      <c r="AA21" s="1"/>
      <c r="AB21" s="1" t="s">
        <v>32</v>
      </c>
      <c r="AC21" s="1">
        <v>2.0</v>
      </c>
      <c r="AD21" s="1" t="s">
        <v>33</v>
      </c>
    </row>
    <row r="22" ht="15.75" customHeight="1">
      <c r="A22" s="1"/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35"/>
      <c r="T22" s="35"/>
      <c r="U22" s="1"/>
      <c r="V22" s="7"/>
      <c r="W22" s="1"/>
      <c r="X22" s="1"/>
      <c r="Y22" s="1"/>
      <c r="Z22" s="1"/>
      <c r="AA22" s="1"/>
      <c r="AB22" s="1"/>
      <c r="AC22" s="1"/>
      <c r="AD22" s="1"/>
    </row>
    <row r="23" ht="17.25" customHeight="1">
      <c r="A23" s="36"/>
      <c r="B23" s="37"/>
      <c r="C23" s="38" t="s">
        <v>34</v>
      </c>
      <c r="D23" s="39" t="s">
        <v>35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1"/>
      <c r="R23" s="38" t="s">
        <v>36</v>
      </c>
      <c r="S23" s="38" t="s">
        <v>37</v>
      </c>
      <c r="T23" s="42" t="s">
        <v>38</v>
      </c>
      <c r="U23" s="43" t="s">
        <v>39</v>
      </c>
      <c r="V23" s="44"/>
      <c r="W23" s="36"/>
      <c r="X23" s="36"/>
      <c r="Y23" s="45" t="s">
        <v>40</v>
      </c>
      <c r="Z23" s="45" t="s">
        <v>41</v>
      </c>
      <c r="AA23" s="45" t="s">
        <v>42</v>
      </c>
      <c r="AB23" s="45" t="s">
        <v>43</v>
      </c>
      <c r="AC23" s="36"/>
      <c r="AD23" s="36"/>
    </row>
    <row r="24" ht="17.25" customHeight="1">
      <c r="A24" s="36"/>
      <c r="B24" s="37"/>
      <c r="C24" s="46"/>
      <c r="D24" s="47">
        <v>1.0</v>
      </c>
      <c r="E24" s="48">
        <v>2.0</v>
      </c>
      <c r="F24" s="48">
        <v>3.0</v>
      </c>
      <c r="G24" s="48">
        <v>4.0</v>
      </c>
      <c r="H24" s="48">
        <v>5.0</v>
      </c>
      <c r="I24" s="48">
        <v>6.0</v>
      </c>
      <c r="J24" s="48">
        <v>7.0</v>
      </c>
      <c r="K24" s="48">
        <v>8.0</v>
      </c>
      <c r="L24" s="48">
        <v>9.0</v>
      </c>
      <c r="M24" s="48">
        <v>10.0</v>
      </c>
      <c r="N24" s="48">
        <v>11.0</v>
      </c>
      <c r="O24" s="48">
        <v>12.0</v>
      </c>
      <c r="P24" s="48">
        <v>13.0</v>
      </c>
      <c r="Q24" s="49">
        <v>14.0</v>
      </c>
      <c r="R24" s="46"/>
      <c r="S24" s="46"/>
      <c r="T24" s="50"/>
      <c r="U24" s="51"/>
      <c r="V24" s="44"/>
      <c r="W24" s="36"/>
      <c r="X24" s="36"/>
      <c r="AC24" s="36"/>
      <c r="AD24" s="36"/>
    </row>
    <row r="25" ht="17.25" customHeight="1">
      <c r="A25" s="36"/>
      <c r="B25" s="37"/>
      <c r="C25" s="52" t="s">
        <v>44</v>
      </c>
      <c r="D25" s="53" t="str">
        <f>cap1st</f>
        <v>15</v>
      </c>
      <c r="E25" s="54" t="str">
        <f>IF(SUM(D25)+D25&lt;=reqCapR,D25,IF(reqCapR&gt;=SUM(D25)+D25/2,D25,0))</f>
        <v>15</v>
      </c>
      <c r="F25" s="54" t="str">
        <f>IF(SUM(D25:E25)+E25&lt;=reqCapR,E25,IF(reqCapR&gt;=SUM(D25:E25)+E25/2,E25,0))</f>
        <v>15</v>
      </c>
      <c r="G25" s="54" t="str">
        <f>IF(SUM(D25:F25)+F25&lt;=reqCapR,F25,IF(reqCapR&gt;=SUM(D25:F25)+F25/2,F25,0))</f>
        <v>15</v>
      </c>
      <c r="H25" s="54" t="str">
        <f>IF(SUM(D25:G25)+G25&lt;=reqCapR,G25,IF(reqCapR&gt;=SUM(D25:G25)+G25/2,G25,0))</f>
        <v>15</v>
      </c>
      <c r="I25" s="54" t="str">
        <f>IF(SUM(D25:H25)+H25&lt;=reqCapR,H25,IF(reqCapR&gt;=SUM(D25:H25)+H25/2,H25,0))</f>
        <v>15</v>
      </c>
      <c r="J25" s="54" t="str">
        <f>IF(SUM(D25:I25)+I25&lt;=reqCapR,I25,IF(reqCapR&gt;=SUM(D25:I25)+I25/2,I25,0))</f>
        <v>15</v>
      </c>
      <c r="K25" s="54" t="str">
        <f>IF(SUM(D25:J25)+J25&lt;=reqCapR,J25,IF(reqCapR&gt;=SUM(D25:J25)+J25/2,J25,0))</f>
        <v>15</v>
      </c>
      <c r="L25" s="54" t="str">
        <f>IF(SUM(D25:K25)+K25&lt;=reqCapR,K25,IF(reqCapR&gt;=SUM(D25:K25)+K25/2,K25,0))</f>
        <v>15</v>
      </c>
      <c r="M25" s="54" t="str">
        <f>IF(SUM(D25:L25)+L25&lt;=reqCapR,L25,IF(reqCapR&gt;=SUM(D25:L25)+L25/2,L25,0))</f>
        <v>15</v>
      </c>
      <c r="N25" s="54" t="str">
        <f>IF(SUM(D25:M25)+M25&lt;=reqCapR,M25,IF(reqCapR&gt;=SUM(D25:M25)+M25/2,M25,0))</f>
        <v>15</v>
      </c>
      <c r="O25" s="54" t="str">
        <f>IF(SUM(D25:N25)+N25&lt;=reqCapR,N25,IF(reqCapR&gt;=SUM(D25:N25)+N25/2,N25,0))</f>
        <v>15</v>
      </c>
      <c r="P25" s="54" t="str">
        <f>IF(SUM(D25:O25)+O25&lt;=reqCapR,O25,IF(reqCapR&gt;=SUM(D25:O25)+O25/2,O25,0))</f>
        <v>15</v>
      </c>
      <c r="Q25" s="55" t="str">
        <f>IF(SUM(D25:P25)+P25&lt;=reqCapR,P25,IF(reqCapR&gt;=SUM(D25:P25)+P25/2,P25,0))</f>
        <v>15</v>
      </c>
      <c r="R25" s="52" t="str">
        <f t="shared" ref="R25:R31" si="1">SUM(D25:Q25)</f>
        <v>210</v>
      </c>
      <c r="S25" s="56" t="str">
        <f>IF(AND(R25&gt;=QLo13pct,R25&lt;=QHi13pct),R38,"---")</f>
        <v>---</v>
      </c>
      <c r="T25" s="57" t="str">
        <f>IF(S25="---","---",R25*1000*CapRatio/Net_Vll/SQRT(3))</f>
        <v>---</v>
      </c>
      <c r="U25" s="58" t="str">
        <f t="shared" ref="U25:U31" si="2">AB25</f>
        <v>---</v>
      </c>
      <c r="V25" s="44"/>
      <c r="W25" s="36"/>
      <c r="X25" s="36"/>
      <c r="Y25" s="59" t="str">
        <f t="shared" ref="Y25:Y31" si="3">INDEX(D25:Q25,0,R38)</f>
        <v>15</v>
      </c>
      <c r="Z25" s="59" t="str">
        <f>ROUND(Y25*1000*CapRatio/Net_Vll/SQRT(3),2)</f>
        <v>17.75</v>
      </c>
      <c r="AA25" s="59" t="str">
        <f t="array" ref="AA25">IF(T25="---",0,INDEX(B58:B80,MATCH(T25*surgeFactor+deltaSize,B58:B80,-1),1))</f>
        <v>0</v>
      </c>
      <c r="AB25" s="59" t="str">
        <f t="array" ref="AB25">IF(AA25=0,"---",IF(AA25&lt;T25-Z25+Z25*CapSurgeAmpR,INDEX(B58:B80,MATCH(T25-Z25+Z25*CapSurgeAmpR,B58:B80,-1),1),AA25))</f>
        <v>---</v>
      </c>
      <c r="AC25" s="60" t="str">
        <f>T25-Z25+Z25*CapSurgeAmpR</f>
        <v>#VALUE!</v>
      </c>
      <c r="AD25" s="36"/>
    </row>
    <row r="26" ht="17.25" customHeight="1">
      <c r="A26" s="36"/>
      <c r="B26" s="37"/>
      <c r="C26" s="61" t="s">
        <v>45</v>
      </c>
      <c r="D26" s="62" t="str">
        <f>cap1st</f>
        <v>15</v>
      </c>
      <c r="E26" s="63" t="str">
        <f>IF(SUM(D26)+D26*2&lt;=reqCapR,D26*2,IF(reqCapR&gt;=SUM(D26)+D26/2,D26*2,0))</f>
        <v>30</v>
      </c>
      <c r="F26" s="63" t="str">
        <f>IF(SUM(D26:E26)+E26&lt;=reqCapR,E26,IF(reqCapR&gt;=SUM(D26:E26)+E26/3,E26,0))</f>
        <v>30</v>
      </c>
      <c r="G26" s="63" t="str">
        <f>IF(SUM(D26:F26)+F26&lt;=reqCapR,F26,IF(reqCapR&gt;=SUM(D26:F26)+F26/3,F26,0))</f>
        <v>30</v>
      </c>
      <c r="H26" s="63" t="str">
        <f>IF(SUM(D26:G26)+G26&lt;=reqCapR,G26,IF(reqCapR&gt;=SUM(D26:G26)+G26/3,G26,0))</f>
        <v>30</v>
      </c>
      <c r="I26" s="63" t="str">
        <f>IF(SUM(D26:H26)+H26&lt;=reqCapR,H26,IF(reqCapR&gt;=SUM(D26:H26)+H26/3,H26,0))</f>
        <v>30</v>
      </c>
      <c r="J26" s="63" t="str">
        <f>IF(SUM(D26:I26)+I26&lt;=reqCapR,I26,IF(reqCapR&gt;=SUM(D26:I26)+I26/3,I26,0))</f>
        <v>30</v>
      </c>
      <c r="K26" s="63" t="str">
        <f>IF(SUM(D26:J26)+J26&lt;=reqCapR,J26,IF(reqCapR&gt;=SUM(D26:J26)+J26/4,J26,0))</f>
        <v>30</v>
      </c>
      <c r="L26" s="63" t="str">
        <f>IF(SUM(D26:K26)+K26&lt;=reqCapR,K26,IF(reqCapR&gt;=SUM(D26:K26)+K26/4,K26,0))</f>
        <v>30</v>
      </c>
      <c r="M26" s="63" t="str">
        <f>IF(SUM(D26:L26)+L26&lt;=reqCapR,L26,IF(reqCapR&gt;=SUM(D26:L26)+L26/4,L26,0))</f>
        <v>30</v>
      </c>
      <c r="N26" s="63" t="str">
        <f>IF(SUM(D26:M26)+M26&lt;=reqCapR,M26,IF(reqCapR&gt;=SUM(D26:M26)+M26/4,M26,0))</f>
        <v>30</v>
      </c>
      <c r="O26" s="63" t="str">
        <f>IF(SUM(D26:N26)+N26&lt;=reqCapR,N26,IF(reqCapR&gt;=SUM(D26:N26)+N26/4,N26,0))</f>
        <v>30</v>
      </c>
      <c r="P26" s="63" t="str">
        <f>IF(SUM(D26:O26)+O26&lt;=reqCapR,O26,IF(reqCapR&gt;=SUM(D26:O26)+O26/4,O26,0))</f>
        <v>30</v>
      </c>
      <c r="Q26" s="64" t="str">
        <f>IF(SUM(D26:P26)+P26&lt;=reqCapR,P26,IF(reqCapR&gt;=SUM(D26:P26)+P26/4,P26,0))</f>
        <v>30</v>
      </c>
      <c r="R26" s="61" t="str">
        <f t="shared" si="1"/>
        <v>405</v>
      </c>
      <c r="S26" s="56" t="str">
        <f>IF(AND(R26&gt;=QLo13pct,R26&lt;=QHi13pct),R39,"---")</f>
        <v>14</v>
      </c>
      <c r="T26" s="57" t="str">
        <f>IF(S26="---","---",R26*1000*CapRatio/Net_Vll/SQRT(3))</f>
        <v>479.2</v>
      </c>
      <c r="U26" s="58" t="str">
        <f t="shared" si="2"/>
        <v>600</v>
      </c>
      <c r="V26" s="44"/>
      <c r="W26" s="36"/>
      <c r="X26" s="36"/>
      <c r="Y26" s="59" t="str">
        <f t="shared" si="3"/>
        <v>30</v>
      </c>
      <c r="Z26" s="59" t="str">
        <f>ROUND(Y26*1000*CapRatio/Net_Vll/SQRT(3),2)</f>
        <v>35.5</v>
      </c>
      <c r="AA26" s="59" t="str">
        <f t="array" ref="AA26">IF(T26="---",0,INDEX(B58:B80,MATCH(T26*surgeFactor+deltaSize,B58:B80,-1),1))</f>
        <v>600</v>
      </c>
      <c r="AB26" s="59" t="str">
        <f t="array" ref="AB26">IF(AA26=0,"---",IF(AA26&lt;T26-Z26+Z26*CapSurgeAmpR,INDEX(B59:B81,MATCH(T26-Z26+Z26*CapSurgeAmpR,B59:B81,-1),1),AA26))</f>
        <v>600</v>
      </c>
      <c r="AC26" s="60" t="str">
        <f>T26-Z26+Z26*CapSurgeAmpR</f>
        <v>515</v>
      </c>
      <c r="AD26" s="36"/>
    </row>
    <row r="27" ht="17.25" customHeight="1">
      <c r="A27" s="36"/>
      <c r="B27" s="37"/>
      <c r="C27" s="61" t="s">
        <v>46</v>
      </c>
      <c r="D27" s="62" t="str">
        <f>cap1st</f>
        <v>15</v>
      </c>
      <c r="E27" s="63" t="str">
        <f>IF(SUM(D27)+D27*2&lt;=reqCapR,D27*2,IF(reqCapR&gt;=SUM(D27)+D27/2,D27*2,0))</f>
        <v>30</v>
      </c>
      <c r="F27" s="63" t="str">
        <f>IF(SUM(D27:E27)+E27*2&lt;=reqCapR,E27*2,IF(reqCapR&gt;=SUM(D27:E27)+E27/2,E27*2,0))</f>
        <v>60</v>
      </c>
      <c r="G27" s="63" t="str">
        <f>IF(SUM(D27:F27)+F27&lt;=reqCapR,F27,IF(reqCapR&gt;=SUM(D27:F27)+F27/3,F27,0))</f>
        <v>60</v>
      </c>
      <c r="H27" s="63" t="str">
        <f>IF(SUM(D27:G27)+G27&lt;=reqCapR,G27,IF(reqCapR&gt;=SUM(D27:G27)+G27/3,G27,0))</f>
        <v>60</v>
      </c>
      <c r="I27" s="63" t="str">
        <f>IF(SUM(D27:H27)+H27&lt;=reqCapR,H27,IF(reqCapR&gt;=SUM(D27:H27)+H27/3,H27,0))</f>
        <v>60</v>
      </c>
      <c r="J27" s="63" t="str">
        <f>IF(SUM(D27:I27)+I27&lt;=reqCapR,I27,IF(reqCapR&gt;=SUM(D27:I27)+I27/3,I27,0))</f>
        <v>60</v>
      </c>
      <c r="K27" s="63" t="str">
        <f>IF(SUM(D27:J27)+J27&lt;=reqCapR,J27,IF(reqCapR&gt;=SUM(D27:J27)+J27/3,J27,0))</f>
        <v>60</v>
      </c>
      <c r="L27" s="63" t="str">
        <f>IF(SUM(D27:K27)+K27&lt;=reqCapR,K27,IF(reqCapR&gt;=SUM(D27:K27)+K27/3,K27,0))</f>
        <v>60</v>
      </c>
      <c r="M27" s="63" t="str">
        <f>IF(SUM(D27:L27)+L27&lt;=reqCapR,L27,IF(reqCapR&gt;=SUM(D27:L27)+L27/3,L27,0))</f>
        <v>0</v>
      </c>
      <c r="N27" s="63" t="str">
        <f>IF(SUM(D27:M27)+M27&lt;=reqCapR,M27,IF(reqCapR&gt;=SUM(D27:M27)+M27/3,M27,0))</f>
        <v>0</v>
      </c>
      <c r="O27" s="63" t="str">
        <f>IF(SUM(D27:N27)+N27&lt;=reqCapR,N27,IF(reqCapR&gt;=SUM(D27:N27)+N27/3,N27,0))</f>
        <v>0</v>
      </c>
      <c r="P27" s="63" t="str">
        <f>IF(SUM(D27:O27)+O27&lt;=reqCapR,O27,IF(reqCapR&gt;=SUM(D27:O27)+O27/3,O27,0))</f>
        <v>0</v>
      </c>
      <c r="Q27" s="64" t="str">
        <f>IF(SUM(D27:P27)+P27&lt;=reqCapR,P27,IF(reqCapR&gt;=SUM(D27:P27)+P27/3,P27,0))</f>
        <v>0</v>
      </c>
      <c r="R27" s="61" t="str">
        <f t="shared" si="1"/>
        <v>465</v>
      </c>
      <c r="S27" s="56" t="str">
        <f>IF(AND(R27&gt;=QLo13pct,R27&lt;=QHi13pct),R40,"---")</f>
        <v>9</v>
      </c>
      <c r="T27" s="57" t="str">
        <f>IF(S27="---","---",R27*1000*CapRatio/Net_Vll/SQRT(3))</f>
        <v>550.2</v>
      </c>
      <c r="U27" s="58" t="str">
        <f t="shared" si="2"/>
        <v>800</v>
      </c>
      <c r="V27" s="44"/>
      <c r="W27" s="36"/>
      <c r="X27" s="36"/>
      <c r="Y27" s="59" t="str">
        <f t="shared" si="3"/>
        <v>60</v>
      </c>
      <c r="Z27" s="59" t="str">
        <f>ROUND(Y27*1000*CapRatio/Net_Vll/SQRT(3),2)</f>
        <v>70.99</v>
      </c>
      <c r="AA27" s="59" t="str">
        <f t="array" ref="AA27">IF(T27="---",0,INDEX(B58:B80,MATCH(T27*surgeFactor+deltaSize,B58:B80,-1),1))</f>
        <v>800</v>
      </c>
      <c r="AB27" s="59" t="str">
        <f t="array" ref="AB27">IF(AA27=0,"---",IF(AA27&lt;T27-Z27+Z27*CapSurgeAmpR,INDEX(B60:B82,MATCH(T27-Z27+Z27*CapSurgeAmpR,B60:B82,-1),1),AA27))</f>
        <v>800</v>
      </c>
      <c r="AC27" s="60" t="str">
        <f>T27-Z27+Z27*CapSurgeAmpR</f>
        <v>621</v>
      </c>
      <c r="AD27" s="36"/>
    </row>
    <row r="28" ht="17.25" customHeight="1">
      <c r="A28" s="36"/>
      <c r="B28" s="37"/>
      <c r="C28" s="61" t="s">
        <v>47</v>
      </c>
      <c r="D28" s="62" t="str">
        <f>cap1st</f>
        <v>15</v>
      </c>
      <c r="E28" s="63" t="str">
        <f>IF(SUM(D28)+D28&lt;=reqCapR,D28,IF(reqCapR&gt;=SUM(D28)+D28/2,D28,0))</f>
        <v>15</v>
      </c>
      <c r="F28" s="63" t="str">
        <f>IF(SUM(D28:E28)+E28*2&lt;=reqCapR,E28*2,IF(reqCapR&gt;=SUM(D28:E28)+E28/2,E28*2,0))</f>
        <v>30</v>
      </c>
      <c r="G28" s="63" t="str">
        <f>IF(SUM(D28:F28)+F28&lt;=reqCapR,F28,IF(reqCapR&gt;=SUM(D28:F28)+F28/3,F28,0))</f>
        <v>30</v>
      </c>
      <c r="H28" s="63" t="str">
        <f>IF(SUM(D28:G28)+G28&lt;=reqCapR,G28,IF(reqCapR&gt;=SUM(D28:G28)+G28/3,G28,0))</f>
        <v>30</v>
      </c>
      <c r="I28" s="63" t="str">
        <f>IF(SUM(D28:H28)+H28&lt;=reqCapR,H28,IF(reqCapR&gt;=SUM(D28:H28)+H28/3,H28,0))</f>
        <v>30</v>
      </c>
      <c r="J28" s="63" t="str">
        <f>IF(SUM(D28:I28)+I28&lt;=reqCapR,I28,IF(reqCapR&gt;=SUM(D28:I28)+I28/3,I28,0))</f>
        <v>30</v>
      </c>
      <c r="K28" s="63" t="str">
        <f>IF(SUM(D28:J28)+J28&lt;=reqCapR,J28,IF(reqCapR&gt;=SUM(D28:J28)+J28/4,J28,0))</f>
        <v>30</v>
      </c>
      <c r="L28" s="63" t="str">
        <f>IF(SUM(D28:K28)+K28&lt;=reqCapR,K28,IF(reqCapR&gt;=SUM(D28:K28)+K28/4,K28,0))</f>
        <v>30</v>
      </c>
      <c r="M28" s="63" t="str">
        <f>IF(SUM(D28:L28)+L28&lt;=reqCapR,L28,IF(reqCapR&gt;=SUM(D28:L28)+L28/4,L28,0))</f>
        <v>30</v>
      </c>
      <c r="N28" s="63" t="str">
        <f>IF(SUM(D28:M28)+M28&lt;=reqCapR,M28,IF(reqCapR&gt;=SUM(D28:M28)+M28/4,M28,0))</f>
        <v>30</v>
      </c>
      <c r="O28" s="63" t="str">
        <f>IF(SUM(D28:N28)+N28&lt;=reqCapR,N28,IF(reqCapR&gt;=SUM(D28:N28)+N28/4,N28,0))</f>
        <v>30</v>
      </c>
      <c r="P28" s="63" t="str">
        <f>IF(SUM(D28:O28)+O28&lt;=reqCapR,O28,IF(reqCapR&gt;=SUM(D28:O28)+O28/4,O28,0))</f>
        <v>30</v>
      </c>
      <c r="Q28" s="64" t="str">
        <f>IF(SUM(D28:P28)+P28&lt;=reqCapR,P28,IF(reqCapR&gt;=SUM(D28:P28)+P28/4,P28,0))</f>
        <v>30</v>
      </c>
      <c r="R28" s="61" t="str">
        <f t="shared" si="1"/>
        <v>390</v>
      </c>
      <c r="S28" s="56" t="str">
        <f>IF(AND(R28&gt;=QLo13pct,R28&lt;=QHi13pct),R41,"---")</f>
        <v>14</v>
      </c>
      <c r="T28" s="57" t="str">
        <f>IF(S28="---","---",R28*1000*CapRatio/Net_Vll/SQRT(3))</f>
        <v>461.5</v>
      </c>
      <c r="U28" s="58" t="str">
        <f t="shared" si="2"/>
        <v>600</v>
      </c>
      <c r="V28" s="44"/>
      <c r="W28" s="36"/>
      <c r="X28" s="36"/>
      <c r="Y28" s="59" t="str">
        <f t="shared" si="3"/>
        <v>30</v>
      </c>
      <c r="Z28" s="59" t="str">
        <f>ROUND(Y28*1000*CapRatio/Net_Vll/SQRT(3),2)</f>
        <v>35.5</v>
      </c>
      <c r="AA28" s="59" t="str">
        <f t="array" ref="AA28">IF(T28="---",0,INDEX(B58:B80,MATCH(T28*surgeFactor+deltaSize,B58:B80,-1),1))</f>
        <v>600</v>
      </c>
      <c r="AB28" s="59" t="str">
        <f t="array" ref="AB28">IF(AA28=0,"---",IF(AA28&lt;T28-Z28+Z28*CapSurgeAmpR,INDEX(B61:B83,MATCH(T28-Z28+Z28*CapSurgeAmpR,B61:B83,-1),1),AA28))</f>
        <v>600</v>
      </c>
      <c r="AC28" s="60" t="str">
        <f>T28-Z28+Z28*CapSurgeAmpR</f>
        <v>497</v>
      </c>
      <c r="AD28" s="36"/>
    </row>
    <row r="29" ht="17.25" customHeight="1">
      <c r="A29" s="36"/>
      <c r="B29" s="37"/>
      <c r="C29" s="61" t="s">
        <v>48</v>
      </c>
      <c r="D29" s="62" t="str">
        <f>cap1st</f>
        <v>15</v>
      </c>
      <c r="E29" s="63" t="str">
        <f>IF(SUM(D29)+D29&lt;=reqCapR,D29,IF(reqCapR&gt;=SUM(D29)+D29/2,D29,0))</f>
        <v>15</v>
      </c>
      <c r="F29" s="63" t="str">
        <f>IF(SUM(D29:E29)+E29*2&lt;=reqCapR,E29*2,IF(reqCapR&gt;=SUM(D29:E29)+E29/2,E29*2,0))</f>
        <v>30</v>
      </c>
      <c r="G29" s="63" t="str">
        <f>IF(SUM(D29:F29)+F29&lt;=reqCapR,F29,IF(reqCapR&gt;=SUM(D29:F29)+F29/3,F29,0))</f>
        <v>30</v>
      </c>
      <c r="H29" s="63" t="str">
        <f>IF(SUM(D29:G29)+G29*2&lt;=reqCapR,G29*2,IF(reqCapR&gt;=SUM(D29:G29)+G29/2,G29*2,0))</f>
        <v>60</v>
      </c>
      <c r="I29" s="63" t="str">
        <f>IF(SUM(D29:H29)+H29&lt;=reqCapR,H29,IF(reqCapR&gt;=SUM(D29:H29)+H29/3,H29,0))</f>
        <v>60</v>
      </c>
      <c r="J29" s="63" t="str">
        <f>IF(SUM(D29:I29)+I29&lt;=reqCapR,I29,IF(reqCapR&gt;=SUM(D29:I29)+I29/3,I29,0))</f>
        <v>60</v>
      </c>
      <c r="K29" s="63" t="str">
        <f>IF(SUM(D29:J29)+J29&lt;=reqCapR,J29,IF(reqCapR&gt;=SUM(D29:J29)+J29/3,J29,0))</f>
        <v>60</v>
      </c>
      <c r="L29" s="63" t="str">
        <f>IF(SUM(D29:K29)+K29&lt;=reqCapR,K29,IF(reqCapR&gt;=SUM(D29:K29)+K29/3,K29,0))</f>
        <v>60</v>
      </c>
      <c r="M29" s="63" t="str">
        <f>IF(SUM(D29:L29)+L29&lt;=reqCapR,L29,IF(reqCapR&gt;=SUM(D29:L29)+L29/3,L29,0))</f>
        <v>60</v>
      </c>
      <c r="N29" s="63" t="str">
        <f>IF(SUM(D29:M29)+M29&lt;=reqCapR,M29,IF(reqCapR&gt;=SUM(D29:M29)+M29/3,M29,0))</f>
        <v>0</v>
      </c>
      <c r="O29" s="63" t="str">
        <f>IF(SUM(D29:N29)+N29&lt;=reqCapR,N29,IF(reqCapR&gt;=SUM(D29:N29)+N29/3,N29,0))</f>
        <v>0</v>
      </c>
      <c r="P29" s="63" t="str">
        <f>IF(SUM(D29:O29)+O29&lt;=reqCapR,O29,IF(reqCapR&gt;=SUM(D29:O29)+O29/3,O29,0))</f>
        <v>0</v>
      </c>
      <c r="Q29" s="64" t="str">
        <f>IF(SUM(D29:P29)+P29&lt;=reqCapR,P29,IF(reqCapR&gt;=SUM(D29:P29)+P29/3,P29,0))</f>
        <v>0</v>
      </c>
      <c r="R29" s="61" t="str">
        <f t="shared" si="1"/>
        <v>450</v>
      </c>
      <c r="S29" s="56" t="str">
        <f>IF(AND(R29&gt;=QLo13pct,R29&lt;=QHi13pct),R42,"---")</f>
        <v>10</v>
      </c>
      <c r="T29" s="57" t="str">
        <f>IF(S29="---","---",R29*1000*CapRatio/Net_Vll/SQRT(3))</f>
        <v>532.4</v>
      </c>
      <c r="U29" s="58" t="str">
        <f t="shared" si="2"/>
        <v>800</v>
      </c>
      <c r="V29" s="44"/>
      <c r="W29" s="36"/>
      <c r="X29" s="36"/>
      <c r="Y29" s="59" t="str">
        <f t="shared" si="3"/>
        <v>60</v>
      </c>
      <c r="Z29" s="59" t="str">
        <f>ROUND(Y29*1000*CapRatio/Net_Vll/SQRT(3),2)</f>
        <v>70.99</v>
      </c>
      <c r="AA29" s="59" t="str">
        <f t="array" ref="AA29">IF(T29="---",0,INDEX(B58:B80,MATCH(T29*surgeFactor+deltaSize,B58:B80,-1),1))</f>
        <v>800</v>
      </c>
      <c r="AB29" s="59" t="str">
        <f t="array" ref="AB29">IF(AA29=0,"---",IF(AA29&lt;T29-Z29+Z29*CapSurgeAmpR,INDEX(B63:B85,MATCH(T29-Z29+Z29*CapSurgeAmpR,B63:B85,-1),1),AA29))</f>
        <v>800</v>
      </c>
      <c r="AC29" s="60" t="str">
        <f>T29-Z29+Z29*CapSurgeAmpR</f>
        <v>603</v>
      </c>
      <c r="AD29" s="36"/>
    </row>
    <row r="30" ht="17.25" customHeight="1">
      <c r="A30" s="36"/>
      <c r="B30" s="37"/>
      <c r="C30" s="61" t="s">
        <v>49</v>
      </c>
      <c r="D30" s="62" t="str">
        <f>cap1st</f>
        <v>15</v>
      </c>
      <c r="E30" s="63" t="str">
        <f>IF(SUM(D30)+D30&lt;=reqCapR,D30,IF(reqCapR&gt;=SUM(D30)+D30/2,D30,0))</f>
        <v>15</v>
      </c>
      <c r="F30" s="63" t="str">
        <f>IF(SUM(D30:E30)+E30&lt;=reqCapR,E30,IF(reqCapR&gt;=SUM(D30:E30)+E30/2,E30,0))</f>
        <v>15</v>
      </c>
      <c r="G30" s="63" t="str">
        <f>IF(SUM(D30:F30)+F30*2&lt;=reqCapR,F30*2,IF(reqCapR&gt;=SUM(D30:F30)+F30/2,F30*2,0))</f>
        <v>30</v>
      </c>
      <c r="H30" s="63" t="str">
        <f>IF(SUM(D30:G30)+G30&lt;=reqCapR,G30,IF(reqCapR&gt;=SUM(D30:G30)+G30/3,G30,0))</f>
        <v>30</v>
      </c>
      <c r="I30" s="63" t="str">
        <f>IF(SUM(D30:H30)+H30&lt;=reqCapR,H30,IF(reqCapR&gt;=SUM(D30:H30)+H30/3,H30,0))</f>
        <v>30</v>
      </c>
      <c r="J30" s="63" t="str">
        <f>IF(SUM(D30:I30)+I30&lt;=reqCapR,I30,IF(reqCapR&gt;=SUM(D30:I30)+I30/3,I30,0))</f>
        <v>30</v>
      </c>
      <c r="K30" s="63" t="str">
        <f>IF(SUM(D30:J30)+J30&lt;=reqCapR,J30,IF(reqCapR&gt;=SUM(D30:J30)+J30/3,J30,0))</f>
        <v>30</v>
      </c>
      <c r="L30" s="63" t="str">
        <f>IF(SUM(D30:K30)+K30&lt;=reqCapR,K30,IF(reqCapR&gt;=SUM(D30:K30)+K30/3,K30,0))</f>
        <v>30</v>
      </c>
      <c r="M30" s="63" t="str">
        <f>IF(SUM(D30:L30)+L30&lt;=reqCapR,L30,IF(reqCapR&gt;=SUM(D30:L30)+L30/3,L30,0))</f>
        <v>30</v>
      </c>
      <c r="N30" s="63" t="str">
        <f>IF(SUM(D30:M30)+M30&lt;=reqCapR,M30,IF(reqCapR&gt;=SUM(D30:M30)+M30/3,M30,0))</f>
        <v>30</v>
      </c>
      <c r="O30" s="63" t="str">
        <f>IF(SUM(D30:N30)+N30&lt;=reqCapR,N30,IF(reqCapR&gt;=SUM(D30:N30)+N30/3,N30,0))</f>
        <v>30</v>
      </c>
      <c r="P30" s="63" t="str">
        <f>IF(SUM(D30:O30)+O30&lt;=reqCapR,O30,IF(reqCapR&gt;=SUM(D30:O30)+O30/3,O30,0))</f>
        <v>30</v>
      </c>
      <c r="Q30" s="64" t="str">
        <f>IF(SUM(D30:P30)+P30&lt;=reqCapR,P30,IF(reqCapR&gt;=SUM(D30:P30)+P30/3,P30,0))</f>
        <v>30</v>
      </c>
      <c r="R30" s="61" t="str">
        <f t="shared" si="1"/>
        <v>375</v>
      </c>
      <c r="S30" s="56" t="str">
        <f>IF(AND(R30&gt;=QLo13pct,R30&lt;=QHi13pct),R43,"---")</f>
        <v>14</v>
      </c>
      <c r="T30" s="57" t="str">
        <f>IF(S30="---","---",R30*1000*CapRatio/Net_Vll/SQRT(3))</f>
        <v>443.7</v>
      </c>
      <c r="U30" s="58" t="str">
        <f t="shared" si="2"/>
        <v>600</v>
      </c>
      <c r="V30" s="44"/>
      <c r="W30" s="36"/>
      <c r="X30" s="36"/>
      <c r="Y30" s="59" t="str">
        <f t="shared" si="3"/>
        <v>30</v>
      </c>
      <c r="Z30" s="59" t="str">
        <f>ROUND(Y30*1000*CapRatio/Net_Vll/SQRT(3),2)</f>
        <v>35.5</v>
      </c>
      <c r="AA30" s="59" t="str">
        <f t="array" ref="AA30">IF(T30="---",0,INDEX(B58:B80,MATCH(T30*surgeFactor+deltaSize,B58:B80,-1),1))</f>
        <v>600</v>
      </c>
      <c r="AB30" s="59" t="str">
        <f t="array" ref="AB30">IF(AA30=0,"---",IF(AA30&lt;T30-Z30+Z30*CapSurgeAmpR,INDEX(B62:B84,MATCH(T30-Z30+Z30*CapSurgeAmpR,B62:B84,-1),1),AA30))</f>
        <v>600</v>
      </c>
      <c r="AC30" s="60" t="str">
        <f>T30-Z30+Z30*CapSurgeAmpR</f>
        <v>479</v>
      </c>
      <c r="AD30" s="36"/>
    </row>
    <row r="31" ht="17.25" customHeight="1">
      <c r="A31" s="36"/>
      <c r="B31" s="37"/>
      <c r="C31" s="61" t="s">
        <v>50</v>
      </c>
      <c r="D31" s="65" t="str">
        <f>cap1st</f>
        <v>15</v>
      </c>
      <c r="E31" s="66" t="str">
        <f>IF(SUM(D31)+D31*2&lt;=reqCapR,D31*2,IF(reqCapR&gt;=SUM(D31)+D31/2,D31*2,0))</f>
        <v>30</v>
      </c>
      <c r="F31" s="66" t="str">
        <f>IF(SUM(D31:E31)+E31*2&lt;=reqCapR,E31*2,IF(reqCapR&gt;=SUM(D31:E31)+E31/2,E31*2,0))</f>
        <v>60</v>
      </c>
      <c r="G31" s="66" t="str">
        <f>IF(SUM(D31:F31)+F31*2&lt;=reqCapR,F31*2,IF(reqCapR&gt;=SUM(D31:F31)+F31/2,F31*2,0))</f>
        <v>120</v>
      </c>
      <c r="H31" s="66" t="str">
        <f>IF(SUM(D31:G31)+G31&lt;=reqCapR,G31,IF(reqCapR&gt;=SUM(D31:G31)+G31/3,G31,0))</f>
        <v>120</v>
      </c>
      <c r="I31" s="66" t="str">
        <f>IF(SUM(D31:H31)+H31&lt;=reqCapR,H31,IF(reqCapR&gt;=SUM(D31:H31)+H31/3,H31,0))</f>
        <v>120</v>
      </c>
      <c r="J31" s="66" t="str">
        <f>IF(SUM(D31:I31)+I31&lt;=reqCapR,I31,IF(reqCapR&gt;=SUM(D31:I31)+I31/3,I31,0))</f>
        <v>0</v>
      </c>
      <c r="K31" s="66" t="str">
        <f>IF(SUM(D31:J31)+J31&lt;=reqCapR,J31,IF(reqCapR&gt;=SUM(D31:J31)+J31/3,J31,0))</f>
        <v>0</v>
      </c>
      <c r="L31" s="66" t="str">
        <f>IF(SUM(D31:K31)+K31&lt;=reqCapR,K31,IF(reqCapR&gt;=SUM(D31:K31)+K31/3,K31,0))</f>
        <v>0</v>
      </c>
      <c r="M31" s="66" t="str">
        <f>IF(SUM(D31:L31)+L31&lt;=reqCapR,L31,IF(reqCapR&gt;=SUM(D31:L31)+L31/3,L31,0))</f>
        <v>0</v>
      </c>
      <c r="N31" s="66" t="str">
        <f>IF(SUM(D31:M31)+M31&lt;=reqCapR,M31,IF(reqCapR&gt;=SUM(D31:M31)+M31/3,M31,0))</f>
        <v>0</v>
      </c>
      <c r="O31" s="66" t="str">
        <f>IF(SUM(D31:N31)+N31&lt;=reqCapR,N31,IF(reqCapR&gt;=SUM(D31:N31)+N31/3,N31,0))</f>
        <v>0</v>
      </c>
      <c r="P31" s="66" t="str">
        <f>IF(SUM(D31:O31)+O31&lt;=reqCapR,O31,IF(reqCapR&gt;=SUM(D31:O31)+O31/3,O31,0))</f>
        <v>0</v>
      </c>
      <c r="Q31" s="67" t="str">
        <f>IF(SUM(D31:P31)+P31&lt;=reqCapR,P31,IF(reqCapR&gt;=SUM(D31:P31)+P31/3,P31,0))</f>
        <v>0</v>
      </c>
      <c r="R31" s="56" t="str">
        <f t="shared" si="1"/>
        <v>465</v>
      </c>
      <c r="S31" s="56" t="str">
        <f>IF(AND(R31&gt;=QLo13pct,R31&lt;=QHi13pct),R44,"---")</f>
        <v>6</v>
      </c>
      <c r="T31" s="57" t="str">
        <f>IF(S31="---","---",R31*1000*CapRatio/Net_Vll/SQRT(3))</f>
        <v>550.2</v>
      </c>
      <c r="U31" s="58" t="str">
        <f t="shared" si="2"/>
        <v>800</v>
      </c>
      <c r="V31" s="44"/>
      <c r="W31" s="36"/>
      <c r="X31" s="36"/>
      <c r="Y31" s="59" t="str">
        <f t="shared" si="3"/>
        <v>120</v>
      </c>
      <c r="Z31" s="59" t="str">
        <f>ROUND(Y31*1000*CapRatio/Net_Vll/SQRT(3),2)</f>
        <v>141.99</v>
      </c>
      <c r="AA31" s="59" t="str">
        <f t="array" ref="AA31">IF(T31="---",0,INDEX(B58:B80,MATCH(T31*surgeFactor+deltaSize,B58:B80,-1),1))</f>
        <v>800</v>
      </c>
      <c r="AB31" s="59" t="str">
        <f t="array" ref="AB31">IF(AA31=0,"---",IF(AA31&lt;T31-Z31+Z31*CapSurgeAmpR,INDEX(B64:B86,MATCH(T31-Z31+Z31*CapSurgeAmpR,B64:B86,-1),1),AA31))</f>
        <v>800</v>
      </c>
      <c r="AC31" s="60" t="str">
        <f>T31-Z31+Z31*CapSurgeAmpR</f>
        <v>692</v>
      </c>
      <c r="AD31" s="36"/>
    </row>
    <row r="32" ht="24.75" customHeight="1">
      <c r="A32" s="1"/>
      <c r="B32" s="68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70"/>
      <c r="T32" s="70"/>
      <c r="U32" s="70"/>
      <c r="V32" s="71"/>
      <c r="W32" s="1"/>
      <c r="X32" s="1"/>
      <c r="Y32" s="1"/>
      <c r="Z32" s="1"/>
      <c r="AA32" s="1"/>
      <c r="AB32" s="1"/>
      <c r="AC32" s="1"/>
      <c r="AD32" s="1"/>
    </row>
    <row r="33" ht="16.5" customHeight="1">
      <c r="A33" s="1"/>
      <c r="B33" s="1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ht="35.25" customHeight="1">
      <c r="A34" s="1"/>
      <c r="B34" s="72" t="s">
        <v>51</v>
      </c>
      <c r="C34" s="73" t="s">
        <v>52</v>
      </c>
      <c r="O34" s="28"/>
      <c r="P34" s="28"/>
      <c r="Q34" s="28"/>
      <c r="R34" s="28"/>
      <c r="S34" s="28"/>
      <c r="T34" s="28"/>
      <c r="U34" s="74" t="s">
        <v>53</v>
      </c>
      <c r="V34" s="28"/>
      <c r="W34" s="28"/>
      <c r="X34" s="28"/>
      <c r="Y34" s="28"/>
      <c r="Z34" s="28"/>
      <c r="AA34" s="28"/>
      <c r="AB34" s="28"/>
      <c r="AC34" s="28"/>
      <c r="AD34" s="28"/>
    </row>
    <row r="35" ht="14.25" customHeight="1">
      <c r="A35" s="1"/>
      <c r="B35" s="1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ht="14.25" hidden="1" customHeight="1">
      <c r="A36" s="18" t="s">
        <v>54</v>
      </c>
      <c r="B36" s="1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ht="14.25" hidden="1" customHeight="1">
      <c r="A37" s="18" t="s">
        <v>10</v>
      </c>
      <c r="B37" s="1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ht="14.25" hidden="1" customHeight="1">
      <c r="A38" s="18">
        <v>2.5</v>
      </c>
      <c r="B38" s="18">
        <v>100.0</v>
      </c>
      <c r="C38" s="75" t="s">
        <v>55</v>
      </c>
      <c r="D38" s="76" t="str">
        <f t="shared" ref="D38:Q38" si="4">IF(D25&gt;0,1,0)</f>
        <v>1</v>
      </c>
      <c r="E38" s="76" t="str">
        <f t="shared" si="4"/>
        <v>1</v>
      </c>
      <c r="F38" s="76" t="str">
        <f t="shared" si="4"/>
        <v>1</v>
      </c>
      <c r="G38" s="76" t="str">
        <f t="shared" si="4"/>
        <v>1</v>
      </c>
      <c r="H38" s="76" t="str">
        <f t="shared" si="4"/>
        <v>1</v>
      </c>
      <c r="I38" s="76" t="str">
        <f t="shared" si="4"/>
        <v>1</v>
      </c>
      <c r="J38" s="76" t="str">
        <f t="shared" si="4"/>
        <v>1</v>
      </c>
      <c r="K38" s="76" t="str">
        <f t="shared" si="4"/>
        <v>1</v>
      </c>
      <c r="L38" s="76" t="str">
        <f t="shared" si="4"/>
        <v>1</v>
      </c>
      <c r="M38" s="76" t="str">
        <f t="shared" si="4"/>
        <v>1</v>
      </c>
      <c r="N38" s="76" t="str">
        <f t="shared" si="4"/>
        <v>1</v>
      </c>
      <c r="O38" s="76" t="str">
        <f t="shared" si="4"/>
        <v>1</v>
      </c>
      <c r="P38" s="76" t="str">
        <f t="shared" si="4"/>
        <v>1</v>
      </c>
      <c r="Q38" s="76" t="str">
        <f t="shared" si="4"/>
        <v>1</v>
      </c>
      <c r="R38" s="76" t="str">
        <f t="shared" ref="R38:R44" si="6">SUM(D38:Q38)</f>
        <v>14</v>
      </c>
      <c r="S38" s="28"/>
      <c r="T38" s="28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ht="14.25" hidden="1" customHeight="1">
      <c r="A39" s="18">
        <v>5.0</v>
      </c>
      <c r="B39" s="18">
        <v>80.0</v>
      </c>
      <c r="C39" s="75" t="s">
        <v>56</v>
      </c>
      <c r="D39" s="76" t="str">
        <f t="shared" ref="D39:Q39" si="5">IF(D26&gt;0,1,0)</f>
        <v>1</v>
      </c>
      <c r="E39" s="76" t="str">
        <f t="shared" si="5"/>
        <v>1</v>
      </c>
      <c r="F39" s="76" t="str">
        <f t="shared" si="5"/>
        <v>1</v>
      </c>
      <c r="G39" s="76" t="str">
        <f t="shared" si="5"/>
        <v>1</v>
      </c>
      <c r="H39" s="76" t="str">
        <f t="shared" si="5"/>
        <v>1</v>
      </c>
      <c r="I39" s="76" t="str">
        <f t="shared" si="5"/>
        <v>1</v>
      </c>
      <c r="J39" s="76" t="str">
        <f t="shared" si="5"/>
        <v>1</v>
      </c>
      <c r="K39" s="76" t="str">
        <f t="shared" si="5"/>
        <v>1</v>
      </c>
      <c r="L39" s="76" t="str">
        <f t="shared" si="5"/>
        <v>1</v>
      </c>
      <c r="M39" s="76" t="str">
        <f t="shared" si="5"/>
        <v>1</v>
      </c>
      <c r="N39" s="76" t="str">
        <f t="shared" si="5"/>
        <v>1</v>
      </c>
      <c r="O39" s="76" t="str">
        <f t="shared" si="5"/>
        <v>1</v>
      </c>
      <c r="P39" s="76" t="str">
        <f t="shared" si="5"/>
        <v>1</v>
      </c>
      <c r="Q39" s="76" t="str">
        <f t="shared" si="5"/>
        <v>1</v>
      </c>
      <c r="R39" s="76" t="str">
        <f t="shared" si="6"/>
        <v>14</v>
      </c>
      <c r="S39" s="28"/>
      <c r="T39" s="28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ht="14.25" hidden="1" customHeight="1">
      <c r="A40" s="18">
        <v>10.0</v>
      </c>
      <c r="B40" s="18">
        <v>60.0</v>
      </c>
      <c r="C40" s="75" t="s">
        <v>57</v>
      </c>
      <c r="D40" s="76" t="str">
        <f t="shared" ref="D40:Q40" si="7">IF(D27&gt;0,1,0)</f>
        <v>1</v>
      </c>
      <c r="E40" s="76" t="str">
        <f t="shared" si="7"/>
        <v>1</v>
      </c>
      <c r="F40" s="76" t="str">
        <f t="shared" si="7"/>
        <v>1</v>
      </c>
      <c r="G40" s="76" t="str">
        <f t="shared" si="7"/>
        <v>1</v>
      </c>
      <c r="H40" s="76" t="str">
        <f t="shared" si="7"/>
        <v>1</v>
      </c>
      <c r="I40" s="76" t="str">
        <f t="shared" si="7"/>
        <v>1</v>
      </c>
      <c r="J40" s="76" t="str">
        <f t="shared" si="7"/>
        <v>1</v>
      </c>
      <c r="K40" s="76" t="str">
        <f t="shared" si="7"/>
        <v>1</v>
      </c>
      <c r="L40" s="76" t="str">
        <f t="shared" si="7"/>
        <v>1</v>
      </c>
      <c r="M40" s="76" t="str">
        <f t="shared" si="7"/>
        <v>0</v>
      </c>
      <c r="N40" s="76" t="str">
        <f t="shared" si="7"/>
        <v>0</v>
      </c>
      <c r="O40" s="76" t="str">
        <f t="shared" si="7"/>
        <v>0</v>
      </c>
      <c r="P40" s="76" t="str">
        <f t="shared" si="7"/>
        <v>0</v>
      </c>
      <c r="Q40" s="76" t="str">
        <f t="shared" si="7"/>
        <v>0</v>
      </c>
      <c r="R40" s="76" t="str">
        <f t="shared" si="6"/>
        <v>9</v>
      </c>
      <c r="S40" s="28"/>
      <c r="T40" s="28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ht="14.25" hidden="1" customHeight="1">
      <c r="A41" s="18">
        <v>15.0</v>
      </c>
      <c r="B41" s="18">
        <v>50.0</v>
      </c>
      <c r="C41" s="75" t="s">
        <v>58</v>
      </c>
      <c r="D41" s="76" t="str">
        <f t="shared" ref="D41:Q41" si="8">IF(D28&gt;0,1,0)</f>
        <v>1</v>
      </c>
      <c r="E41" s="76" t="str">
        <f t="shared" si="8"/>
        <v>1</v>
      </c>
      <c r="F41" s="76" t="str">
        <f t="shared" si="8"/>
        <v>1</v>
      </c>
      <c r="G41" s="76" t="str">
        <f t="shared" si="8"/>
        <v>1</v>
      </c>
      <c r="H41" s="76" t="str">
        <f t="shared" si="8"/>
        <v>1</v>
      </c>
      <c r="I41" s="76" t="str">
        <f t="shared" si="8"/>
        <v>1</v>
      </c>
      <c r="J41" s="76" t="str">
        <f t="shared" si="8"/>
        <v>1</v>
      </c>
      <c r="K41" s="76" t="str">
        <f t="shared" si="8"/>
        <v>1</v>
      </c>
      <c r="L41" s="76" t="str">
        <f t="shared" si="8"/>
        <v>1</v>
      </c>
      <c r="M41" s="76" t="str">
        <f t="shared" si="8"/>
        <v>1</v>
      </c>
      <c r="N41" s="76" t="str">
        <f t="shared" si="8"/>
        <v>1</v>
      </c>
      <c r="O41" s="76" t="str">
        <f t="shared" si="8"/>
        <v>1</v>
      </c>
      <c r="P41" s="76" t="str">
        <f t="shared" si="8"/>
        <v>1</v>
      </c>
      <c r="Q41" s="76" t="str">
        <f t="shared" si="8"/>
        <v>1</v>
      </c>
      <c r="R41" s="76" t="str">
        <f t="shared" si="6"/>
        <v>14</v>
      </c>
      <c r="S41" s="28"/>
      <c r="T41" s="28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ht="14.25" hidden="1" customHeight="1">
      <c r="A42" s="18">
        <v>20.0</v>
      </c>
      <c r="B42" s="18">
        <v>40.0</v>
      </c>
      <c r="C42" s="75" t="s">
        <v>59</v>
      </c>
      <c r="D42" s="76" t="str">
        <f t="shared" ref="D42:Q42" si="9">IF(D29&gt;0,1,0)</f>
        <v>1</v>
      </c>
      <c r="E42" s="76" t="str">
        <f t="shared" si="9"/>
        <v>1</v>
      </c>
      <c r="F42" s="76" t="str">
        <f t="shared" si="9"/>
        <v>1</v>
      </c>
      <c r="G42" s="76" t="str">
        <f t="shared" si="9"/>
        <v>1</v>
      </c>
      <c r="H42" s="76" t="str">
        <f t="shared" si="9"/>
        <v>1</v>
      </c>
      <c r="I42" s="76" t="str">
        <f t="shared" si="9"/>
        <v>1</v>
      </c>
      <c r="J42" s="76" t="str">
        <f t="shared" si="9"/>
        <v>1</v>
      </c>
      <c r="K42" s="76" t="str">
        <f t="shared" si="9"/>
        <v>1</v>
      </c>
      <c r="L42" s="76" t="str">
        <f t="shared" si="9"/>
        <v>1</v>
      </c>
      <c r="M42" s="76" t="str">
        <f t="shared" si="9"/>
        <v>1</v>
      </c>
      <c r="N42" s="76" t="str">
        <f t="shared" si="9"/>
        <v>0</v>
      </c>
      <c r="O42" s="76" t="str">
        <f t="shared" si="9"/>
        <v>0</v>
      </c>
      <c r="P42" s="76" t="str">
        <f t="shared" si="9"/>
        <v>0</v>
      </c>
      <c r="Q42" s="76" t="str">
        <f t="shared" si="9"/>
        <v>0</v>
      </c>
      <c r="R42" s="76" t="str">
        <f t="shared" si="6"/>
        <v>10</v>
      </c>
      <c r="S42" s="28"/>
      <c r="T42" s="28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ht="14.25" hidden="1" customHeight="1">
      <c r="A43" s="18">
        <v>25.0</v>
      </c>
      <c r="B43" s="18">
        <v>30.0</v>
      </c>
      <c r="C43" s="75" t="s">
        <v>60</v>
      </c>
      <c r="D43" s="76" t="str">
        <f t="shared" ref="D43:Q43" si="10">IF(D30&gt;0,1,0)</f>
        <v>1</v>
      </c>
      <c r="E43" s="76" t="str">
        <f t="shared" si="10"/>
        <v>1</v>
      </c>
      <c r="F43" s="76" t="str">
        <f t="shared" si="10"/>
        <v>1</v>
      </c>
      <c r="G43" s="76" t="str">
        <f t="shared" si="10"/>
        <v>1</v>
      </c>
      <c r="H43" s="76" t="str">
        <f t="shared" si="10"/>
        <v>1</v>
      </c>
      <c r="I43" s="76" t="str">
        <f t="shared" si="10"/>
        <v>1</v>
      </c>
      <c r="J43" s="76" t="str">
        <f t="shared" si="10"/>
        <v>1</v>
      </c>
      <c r="K43" s="76" t="str">
        <f t="shared" si="10"/>
        <v>1</v>
      </c>
      <c r="L43" s="76" t="str">
        <f t="shared" si="10"/>
        <v>1</v>
      </c>
      <c r="M43" s="76" t="str">
        <f t="shared" si="10"/>
        <v>1</v>
      </c>
      <c r="N43" s="76" t="str">
        <f t="shared" si="10"/>
        <v>1</v>
      </c>
      <c r="O43" s="76" t="str">
        <f t="shared" si="10"/>
        <v>1</v>
      </c>
      <c r="P43" s="76" t="str">
        <f t="shared" si="10"/>
        <v>1</v>
      </c>
      <c r="Q43" s="76" t="str">
        <f t="shared" si="10"/>
        <v>1</v>
      </c>
      <c r="R43" s="76" t="str">
        <f t="shared" si="6"/>
        <v>14</v>
      </c>
      <c r="S43" s="28"/>
      <c r="T43" s="28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ht="14.25" hidden="1" customHeight="1">
      <c r="A44" s="18">
        <v>30.0</v>
      </c>
      <c r="B44" s="18">
        <v>25.0</v>
      </c>
      <c r="C44" s="75" t="s">
        <v>61</v>
      </c>
      <c r="D44" s="76" t="str">
        <f t="shared" ref="D44:Q44" si="11">IF(D31&gt;0,1,0)</f>
        <v>1</v>
      </c>
      <c r="E44" s="76" t="str">
        <f t="shared" si="11"/>
        <v>1</v>
      </c>
      <c r="F44" s="76" t="str">
        <f t="shared" si="11"/>
        <v>1</v>
      </c>
      <c r="G44" s="76" t="str">
        <f t="shared" si="11"/>
        <v>1</v>
      </c>
      <c r="H44" s="76" t="str">
        <f t="shared" si="11"/>
        <v>1</v>
      </c>
      <c r="I44" s="76" t="str">
        <f t="shared" si="11"/>
        <v>1</v>
      </c>
      <c r="J44" s="76" t="str">
        <f t="shared" si="11"/>
        <v>0</v>
      </c>
      <c r="K44" s="76" t="str">
        <f t="shared" si="11"/>
        <v>0</v>
      </c>
      <c r="L44" s="76" t="str">
        <f t="shared" si="11"/>
        <v>0</v>
      </c>
      <c r="M44" s="76" t="str">
        <f t="shared" si="11"/>
        <v>0</v>
      </c>
      <c r="N44" s="76" t="str">
        <f t="shared" si="11"/>
        <v>0</v>
      </c>
      <c r="O44" s="76" t="str">
        <f t="shared" si="11"/>
        <v>0</v>
      </c>
      <c r="P44" s="76" t="str">
        <f t="shared" si="11"/>
        <v>0</v>
      </c>
      <c r="Q44" s="76" t="str">
        <f t="shared" si="11"/>
        <v>0</v>
      </c>
      <c r="R44" s="76" t="str">
        <f t="shared" si="6"/>
        <v>6</v>
      </c>
      <c r="S44" s="28"/>
      <c r="T44" s="28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ht="14.25" hidden="1" customHeight="1">
      <c r="A45" s="18">
        <v>40.0</v>
      </c>
      <c r="B45" s="18">
        <v>20.0</v>
      </c>
      <c r="C45" s="28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28"/>
      <c r="T45" s="28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ht="14.25" hidden="1" customHeight="1">
      <c r="A46" s="18">
        <v>50.0</v>
      </c>
      <c r="B46" s="18">
        <v>15.0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ht="14.25" hidden="1" customHeight="1">
      <c r="A47" s="18">
        <v>60.0</v>
      </c>
      <c r="B47" s="18">
        <v>10.0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ht="14.25" hidden="1" customHeight="1">
      <c r="A48" s="18">
        <v>80.0</v>
      </c>
      <c r="B48" s="18">
        <v>5.0</v>
      </c>
      <c r="C48" s="28"/>
      <c r="D48" s="72" t="s">
        <v>62</v>
      </c>
      <c r="E48" s="77" t="str">
        <f>Net_Vll*Net_Vll/Cap_Vr/Cap_Vr*(1+Lfactor/100)</f>
        <v>0.8505</v>
      </c>
      <c r="F48" s="28"/>
      <c r="G48" s="28"/>
      <c r="H48" s="28"/>
      <c r="I48" s="28"/>
      <c r="J48" s="78" t="s">
        <v>63</v>
      </c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ht="14.25" hidden="1" customHeight="1">
      <c r="A49" s="18">
        <v>100.0</v>
      </c>
      <c r="B49" s="18">
        <v>2.5</v>
      </c>
      <c r="C49" s="28"/>
      <c r="D49" s="72" t="s">
        <v>64</v>
      </c>
      <c r="E49" s="72" t="str">
        <f>MD_pct*MD_org/100</f>
        <v>640</v>
      </c>
      <c r="F49" s="78" t="s">
        <v>3</v>
      </c>
      <c r="G49" s="78"/>
      <c r="H49" s="78" t="s">
        <v>65</v>
      </c>
      <c r="I49" s="78" t="str">
        <f>ROUND(MD_org*0.8/Net_Vll/SQRT(3)/0.75*1000,0)</f>
        <v>1187</v>
      </c>
      <c r="J49" s="78" t="str">
        <f t="array" ref="J49">INDEX(B58:B80,MATCH(I49,B58:B80,-1),1)</f>
        <v>1200</v>
      </c>
      <c r="K49" s="78"/>
      <c r="L49" s="78"/>
      <c r="M49" s="78"/>
      <c r="N49" s="78"/>
      <c r="O49" s="78"/>
      <c r="P49" s="78"/>
      <c r="Q49" s="78"/>
      <c r="R49" s="78"/>
      <c r="S49" s="28"/>
      <c r="T49" s="28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ht="14.25" hidden="1" customHeight="1">
      <c r="A50" s="1"/>
      <c r="B50" s="1"/>
      <c r="C50" s="28"/>
      <c r="D50" s="72" t="s">
        <v>66</v>
      </c>
      <c r="E50" s="72" t="str">
        <f>IF(E15="Auto",E56,E15)</f>
        <v>15</v>
      </c>
      <c r="F50" s="78" t="s">
        <v>67</v>
      </c>
      <c r="G50" s="78"/>
      <c r="H50" s="78" t="s">
        <v>68</v>
      </c>
      <c r="I50" s="78" t="str">
        <f>ROUND(MD_org/Net_Vll/SQRT(3)/0.75*1000,0)</f>
        <v>1484</v>
      </c>
      <c r="J50" s="78" t="str">
        <f t="array" ref="J50">INDEX(B58:B80,MATCH(I50,B58:B80,-1),1)</f>
        <v>1500</v>
      </c>
      <c r="K50" s="78"/>
      <c r="L50" s="78"/>
      <c r="M50" s="78"/>
      <c r="N50" s="78"/>
      <c r="O50" s="78"/>
      <c r="P50" s="78"/>
      <c r="Q50" s="78"/>
      <c r="R50" s="78"/>
      <c r="S50" s="28"/>
      <c r="T50" s="28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ht="14.25" hidden="1" customHeight="1">
      <c r="A51" s="1" t="s">
        <v>20</v>
      </c>
      <c r="B51" s="1"/>
      <c r="C51" s="28"/>
      <c r="D51" s="72" t="s">
        <v>69</v>
      </c>
      <c r="E51" s="79" t="str">
        <f>D25*CapRatio/Net_Vll/SQRT(3)*1000</f>
        <v>17.7</v>
      </c>
      <c r="F51" s="78" t="s">
        <v>70</v>
      </c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28"/>
      <c r="T51" s="28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ht="32.25" hidden="1" customHeight="1">
      <c r="A52" s="18">
        <v>6.0</v>
      </c>
      <c r="B52" s="18"/>
      <c r="C52" s="28"/>
      <c r="D52" s="78"/>
      <c r="E52" s="28" t="s">
        <v>71</v>
      </c>
      <c r="F52" s="28" t="s">
        <v>72</v>
      </c>
      <c r="G52" s="45" t="s">
        <v>73</v>
      </c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ht="14.25" hidden="1" customHeight="1">
      <c r="A53" s="18">
        <v>7.0</v>
      </c>
      <c r="B53" s="18"/>
      <c r="C53" s="28"/>
      <c r="D53" s="78" t="s">
        <v>74</v>
      </c>
      <c r="E53" s="80" t="str">
        <f>CTval*0.01*Net_Vll*SQRT(3)/1000</f>
        <v>10.78</v>
      </c>
      <c r="F53" s="80" t="str">
        <f>E53*Cap_Vr*Cap_Vr/Net_Vll/Net_Vll</f>
        <v>12.68</v>
      </c>
      <c r="G53" s="81" t="str">
        <f>E53*1000/Net_Vll/SQRT(3)</f>
        <v>15</v>
      </c>
      <c r="H53" s="78" t="s">
        <v>75</v>
      </c>
      <c r="I53" s="78"/>
      <c r="J53" s="82">
        <v>0.13</v>
      </c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ht="14.25" hidden="1" customHeight="1">
      <c r="A54" s="18">
        <v>13.0</v>
      </c>
      <c r="B54" s="18"/>
      <c r="C54" s="28"/>
      <c r="D54" s="72" t="s">
        <v>76</v>
      </c>
      <c r="E54" s="81" t="str">
        <f>ROUND(norm_kW*TAN(ACOS(PFini)) - norm_kW*TAN(ACOS(PFtar)),0)</f>
        <v>380</v>
      </c>
      <c r="F54" s="76" t="str">
        <f>ROUND(E54/CapRatio,0)</f>
        <v>447</v>
      </c>
      <c r="G54" s="28"/>
      <c r="H54" s="78" t="s">
        <v>77</v>
      </c>
      <c r="I54" s="76" t="str">
        <f>IF(F54/E56&gt;2,INT(F54*0.9),F54)</f>
        <v>402</v>
      </c>
      <c r="J54" s="28" t="str">
        <f>IF(F54/E56&gt;2,INT(F54*0.84),F54)</f>
        <v>375</v>
      </c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ht="14.25" hidden="1" customHeight="1">
      <c r="A55" s="1"/>
      <c r="B55" s="1"/>
      <c r="C55" s="28"/>
      <c r="D55" s="28"/>
      <c r="E55" s="28"/>
      <c r="F55" s="28"/>
      <c r="G55" s="28"/>
      <c r="H55" s="78" t="s">
        <v>78</v>
      </c>
      <c r="I55" s="76" t="str">
        <f>IF(F54/E56&gt;2,ROUND(F54*1.1,0),F54+E56)</f>
        <v>492</v>
      </c>
      <c r="J55" s="28" t="str">
        <f>IF(F54/E56&gt;2,ROUND(F54*1.16,0),F54+E56)</f>
        <v>519</v>
      </c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ht="14.25" hidden="1" customHeight="1">
      <c r="A56" s="18" t="s">
        <v>79</v>
      </c>
      <c r="B56" s="1"/>
      <c r="C56" s="28"/>
      <c r="D56" s="72" t="s">
        <v>80</v>
      </c>
      <c r="E56" s="28" t="str">
        <f t="array" ref="E56">INDEX(B38:B49,MATCH(F53*0.9,B38:B49,-1),1)</f>
        <v>15</v>
      </c>
      <c r="F56" s="28" t="s">
        <v>67</v>
      </c>
      <c r="G56" s="83" t="str">
        <f>E56*1000*CapRatio/Net_Vll/SQRT(3)</f>
        <v>17.7</v>
      </c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28"/>
      <c r="T56" s="28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ht="14.25" hidden="1" customHeight="1">
      <c r="A57" s="1" t="s">
        <v>10</v>
      </c>
      <c r="B57" s="1"/>
      <c r="C57" s="78"/>
      <c r="D57" s="72" t="s">
        <v>81</v>
      </c>
      <c r="E57" s="28" t="str">
        <f>IF(CTsel="Auto",J50,CTsel)</f>
        <v>1500</v>
      </c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28"/>
      <c r="T57" s="28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ht="14.25" hidden="1" customHeight="1">
      <c r="A58" s="18">
        <v>60.0</v>
      </c>
      <c r="B58" s="18">
        <v>10000.0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28"/>
      <c r="T58" s="28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ht="14.25" hidden="1" customHeight="1">
      <c r="A59" s="1">
        <v>80.0</v>
      </c>
      <c r="B59" s="18">
        <v>8000.0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28"/>
      <c r="T59" s="28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ht="14.25" hidden="1" customHeight="1">
      <c r="A60" s="18">
        <v>100.0</v>
      </c>
      <c r="B60" s="18">
        <v>6000.0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28"/>
      <c r="T60" s="28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ht="14.25" hidden="1" customHeight="1">
      <c r="A61" s="18">
        <v>150.0</v>
      </c>
      <c r="B61" s="18">
        <v>5000.0</v>
      </c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28"/>
      <c r="T61" s="28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ht="14.25" hidden="1" customHeight="1">
      <c r="A62" s="18">
        <v>200.0</v>
      </c>
      <c r="B62" s="18">
        <v>4000.0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28"/>
      <c r="T62" s="28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ht="14.25" hidden="1" customHeight="1">
      <c r="A63" s="18">
        <v>250.0</v>
      </c>
      <c r="B63" s="18">
        <v>3000.0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28"/>
      <c r="T63" s="28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ht="14.25" hidden="1" customHeight="1">
      <c r="A64" s="18">
        <v>300.0</v>
      </c>
      <c r="B64" s="18">
        <v>2500.0</v>
      </c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28"/>
      <c r="T64" s="28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ht="14.25" hidden="1" customHeight="1">
      <c r="A65" s="18">
        <v>400.0</v>
      </c>
      <c r="B65" s="18">
        <v>2000.0</v>
      </c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28"/>
      <c r="T65" s="28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ht="14.25" hidden="1" customHeight="1">
      <c r="A66" s="18">
        <v>500.0</v>
      </c>
      <c r="B66" s="18">
        <v>1600.0</v>
      </c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28"/>
      <c r="T66" s="28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ht="14.25" hidden="1" customHeight="1">
      <c r="A67" s="18">
        <v>600.0</v>
      </c>
      <c r="B67" s="18">
        <v>1500.0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28"/>
      <c r="T67" s="28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ht="14.25" hidden="1" customHeight="1">
      <c r="A68" s="18">
        <v>800.0</v>
      </c>
      <c r="B68" s="18">
        <v>1200.0</v>
      </c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28"/>
      <c r="T68" s="28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ht="14.25" hidden="1" customHeight="1">
      <c r="A69" s="18">
        <v>1000.0</v>
      </c>
      <c r="B69" s="18">
        <v>1000.0</v>
      </c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28"/>
      <c r="T69" s="28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ht="14.25" hidden="1" customHeight="1">
      <c r="A70" s="18">
        <v>1200.0</v>
      </c>
      <c r="B70" s="18">
        <v>800.0</v>
      </c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28"/>
      <c r="T70" s="28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ht="14.25" hidden="1" customHeight="1">
      <c r="A71" s="18">
        <v>1500.0</v>
      </c>
      <c r="B71" s="18">
        <v>600.0</v>
      </c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28"/>
      <c r="T71" s="28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ht="14.25" hidden="1" customHeight="1">
      <c r="A72" s="18">
        <v>1600.0</v>
      </c>
      <c r="B72" s="18">
        <v>500.0</v>
      </c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28"/>
      <c r="T72" s="28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ht="14.25" hidden="1" customHeight="1">
      <c r="A73" s="18">
        <v>2000.0</v>
      </c>
      <c r="B73" s="18">
        <v>400.0</v>
      </c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28"/>
      <c r="T73" s="28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ht="14.25" hidden="1" customHeight="1">
      <c r="A74" s="18">
        <v>2500.0</v>
      </c>
      <c r="B74" s="18">
        <v>300.0</v>
      </c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28"/>
      <c r="T74" s="28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ht="14.25" hidden="1" customHeight="1">
      <c r="A75" s="18">
        <v>3000.0</v>
      </c>
      <c r="B75" s="18">
        <v>250.0</v>
      </c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28"/>
      <c r="T75" s="28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ht="14.25" hidden="1" customHeight="1">
      <c r="A76" s="18">
        <v>4000.0</v>
      </c>
      <c r="B76" s="18">
        <v>200.0</v>
      </c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28"/>
      <c r="T76" s="28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ht="14.25" hidden="1" customHeight="1">
      <c r="A77" s="18">
        <v>5000.0</v>
      </c>
      <c r="B77" s="18">
        <v>150.0</v>
      </c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28"/>
      <c r="T77" s="28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ht="14.25" hidden="1" customHeight="1">
      <c r="A78" s="18">
        <v>6000.0</v>
      </c>
      <c r="B78" s="18">
        <v>100.0</v>
      </c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28"/>
      <c r="T78" s="28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ht="15.75" hidden="1" customHeight="1">
      <c r="A79" s="18">
        <v>8000.0</v>
      </c>
      <c r="B79" s="18">
        <v>80.0</v>
      </c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28"/>
      <c r="T79" s="28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ht="15.75" hidden="1" customHeight="1">
      <c r="A80" s="18">
        <v>10000.0</v>
      </c>
      <c r="B80" s="18">
        <v>60.0</v>
      </c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28"/>
      <c r="T80" s="28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ht="15.75" hidden="1" customHeight="1">
      <c r="A81" s="1"/>
      <c r="B81" s="1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ht="15.75" hidden="1" customHeight="1">
      <c r="A82" s="1"/>
      <c r="B82" s="1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ht="15.75" hidden="1" customHeight="1">
      <c r="A83" s="1"/>
      <c r="B83" s="1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ht="15.75" hidden="1" customHeight="1">
      <c r="A84" s="1"/>
      <c r="B84" s="1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ht="15.75" hidden="1" customHeight="1">
      <c r="A85" s="1"/>
      <c r="B85" s="1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ht="15.75" hidden="1" customHeight="1">
      <c r="A86" s="1"/>
      <c r="B86" s="1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ht="15.75" hidden="1" customHeight="1">
      <c r="A87" s="1"/>
      <c r="B87" s="1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ht="15.75" hidden="1" customHeight="1">
      <c r="A88" s="1"/>
      <c r="B88" s="1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ht="15.75" hidden="1" customHeight="1">
      <c r="A89" s="1"/>
      <c r="B89" s="1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ht="15.75" hidden="1" customHeight="1">
      <c r="A90" s="1"/>
      <c r="B90" s="1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ht="15.75" hidden="1" customHeight="1">
      <c r="A91" s="1"/>
      <c r="B91" s="1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ht="15.75" hidden="1" customHeight="1">
      <c r="A92" s="1"/>
      <c r="B92" s="1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ht="15.75" hidden="1" customHeight="1">
      <c r="A93" s="1"/>
      <c r="B93" s="1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ht="15.75" hidden="1" customHeight="1">
      <c r="A94" s="1"/>
      <c r="B94" s="1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ht="15.75" hidden="1" customHeight="1">
      <c r="A95" s="1"/>
      <c r="B95" s="1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ht="15.75" hidden="1" customHeight="1">
      <c r="A96" s="1"/>
      <c r="B96" s="1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ht="15.75" hidden="1" customHeight="1">
      <c r="A97" s="1"/>
      <c r="B97" s="1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ht="15.75" hidden="1" customHeight="1">
      <c r="A98" s="1"/>
      <c r="B98" s="1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ht="15.75" hidden="1" customHeight="1">
      <c r="A99" s="1"/>
      <c r="B99" s="1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ht="15.75" hidden="1" customHeight="1">
      <c r="A100" s="1"/>
      <c r="B100" s="1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ht="15.75" hidden="1" customHeight="1">
      <c r="A101" s="1"/>
      <c r="B101" s="1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ht="15.75" hidden="1" customHeight="1">
      <c r="A102" s="1"/>
      <c r="B102" s="1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ht="15.75" hidden="1" customHeight="1">
      <c r="A103" s="1"/>
      <c r="B103" s="1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ht="15.75" hidden="1" customHeight="1">
      <c r="A104" s="1"/>
      <c r="B104" s="1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ht="15.75" hidden="1" customHeight="1">
      <c r="A105" s="1"/>
      <c r="B105" s="1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ht="15.75" hidden="1" customHeight="1">
      <c r="A106" s="1"/>
      <c r="B106" s="1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ht="15.75" hidden="1" customHeight="1">
      <c r="A107" s="1"/>
      <c r="B107" s="1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ht="15.75" hidden="1" customHeight="1">
      <c r="A108" s="1"/>
      <c r="B108" s="1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ht="15.75" hidden="1" customHeight="1">
      <c r="A109" s="1"/>
      <c r="B109" s="1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ht="15.75" hidden="1" customHeight="1">
      <c r="A110" s="1"/>
      <c r="B110" s="1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ht="15.75" hidden="1" customHeight="1">
      <c r="A111" s="1"/>
      <c r="B111" s="1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ht="15.75" hidden="1" customHeight="1">
      <c r="A112" s="1"/>
      <c r="B112" s="1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ht="15.75" hidden="1" customHeight="1">
      <c r="A113" s="1"/>
      <c r="B113" s="1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ht="15.75" hidden="1" customHeight="1">
      <c r="A114" s="1"/>
      <c r="B114" s="1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ht="15.75" hidden="1" customHeight="1">
      <c r="A115" s="1"/>
      <c r="B115" s="1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ht="15.75" hidden="1" customHeight="1">
      <c r="A116" s="1"/>
      <c r="B116" s="1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ht="15.75" hidden="1" customHeight="1">
      <c r="A117" s="1"/>
      <c r="B117" s="1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ht="15.75" hidden="1" customHeight="1">
      <c r="A118" s="1"/>
      <c r="B118" s="1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ht="15.75" hidden="1" customHeight="1">
      <c r="A119" s="1"/>
      <c r="B119" s="1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ht="15.75" hidden="1" customHeight="1">
      <c r="A120" s="1"/>
      <c r="B120" s="1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ht="15.75" hidden="1" customHeight="1">
      <c r="A121" s="1"/>
      <c r="B121" s="1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ht="15.75" hidden="1" customHeight="1">
      <c r="A122" s="1"/>
      <c r="B122" s="1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ht="15.75" hidden="1" customHeight="1">
      <c r="A123" s="1"/>
      <c r="B123" s="1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ht="15.75" hidden="1" customHeight="1">
      <c r="A124" s="1"/>
      <c r="B124" s="1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ht="15.75" hidden="1" customHeight="1">
      <c r="A125" s="1"/>
      <c r="B125" s="1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ht="15.75" hidden="1" customHeight="1">
      <c r="A126" s="1"/>
      <c r="B126" s="1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ht="15.75" hidden="1" customHeight="1">
      <c r="A127" s="1"/>
      <c r="B127" s="1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ht="15.75" hidden="1" customHeight="1">
      <c r="A128" s="1"/>
      <c r="B128" s="1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ht="15.75" hidden="1" customHeight="1">
      <c r="A129" s="1"/>
      <c r="B129" s="1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ht="15.75" hidden="1" customHeight="1">
      <c r="A130" s="1"/>
      <c r="B130" s="1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ht="15.75" hidden="1" customHeight="1">
      <c r="A131" s="1"/>
      <c r="B131" s="1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ht="15.75" hidden="1" customHeight="1">
      <c r="A132" s="1"/>
      <c r="B132" s="1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ht="15.75" hidden="1" customHeight="1">
      <c r="A133" s="1"/>
      <c r="B133" s="1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ht="15.75" hidden="1" customHeight="1">
      <c r="A134" s="1"/>
      <c r="B134" s="1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ht="15.75" hidden="1" customHeight="1">
      <c r="A135" s="1"/>
      <c r="B135" s="1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ht="15.75" hidden="1" customHeight="1">
      <c r="A136" s="1"/>
      <c r="B136" s="1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ht="15.75" hidden="1" customHeight="1">
      <c r="A137" s="1"/>
      <c r="B137" s="1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ht="15.75" hidden="1" customHeight="1">
      <c r="A138" s="1"/>
      <c r="B138" s="1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ht="15.75" hidden="1" customHeight="1">
      <c r="A139" s="1"/>
      <c r="B139" s="1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ht="15.75" hidden="1" customHeight="1">
      <c r="A140" s="1"/>
      <c r="B140" s="1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ht="15.75" hidden="1" customHeight="1">
      <c r="A141" s="1"/>
      <c r="B141" s="1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ht="15.75" hidden="1" customHeight="1">
      <c r="A142" s="1"/>
      <c r="B142" s="1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ht="15.75" hidden="1" customHeight="1">
      <c r="A143" s="1"/>
      <c r="B143" s="1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ht="15.75" hidden="1" customHeight="1">
      <c r="A144" s="1"/>
      <c r="B144" s="1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ht="15.75" hidden="1" customHeight="1">
      <c r="A145" s="1"/>
      <c r="B145" s="1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ht="15.75" hidden="1" customHeight="1">
      <c r="A146" s="1"/>
      <c r="B146" s="1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ht="15.75" hidden="1" customHeight="1">
      <c r="A147" s="1"/>
      <c r="B147" s="1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ht="15.75" hidden="1" customHeight="1">
      <c r="A148" s="1"/>
      <c r="B148" s="1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ht="15.75" hidden="1" customHeight="1">
      <c r="A149" s="1"/>
      <c r="B149" s="1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ht="15.75" hidden="1" customHeight="1">
      <c r="A150" s="1"/>
      <c r="B150" s="1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ht="15.75" hidden="1" customHeight="1">
      <c r="A151" s="1"/>
      <c r="B151" s="1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ht="15.75" hidden="1" customHeight="1">
      <c r="A152" s="1"/>
      <c r="B152" s="1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ht="15.75" hidden="1" customHeight="1">
      <c r="A153" s="1"/>
      <c r="B153" s="1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ht="15.75" hidden="1" customHeight="1">
      <c r="A154" s="1"/>
      <c r="B154" s="1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ht="15.75" hidden="1" customHeight="1">
      <c r="A155" s="1"/>
      <c r="B155" s="1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ht="15.75" hidden="1" customHeight="1">
      <c r="A156" s="1"/>
      <c r="B156" s="1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ht="15.75" hidden="1" customHeight="1">
      <c r="A157" s="1"/>
      <c r="B157" s="1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ht="15.75" hidden="1" customHeight="1">
      <c r="A158" s="1"/>
      <c r="B158" s="1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ht="15.75" hidden="1" customHeight="1">
      <c r="A159" s="1"/>
      <c r="B159" s="1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ht="15.75" hidden="1" customHeight="1">
      <c r="A160" s="1"/>
      <c r="B160" s="1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ht="15.75" hidden="1" customHeight="1">
      <c r="A161" s="1"/>
      <c r="B161" s="1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ht="15.75" hidden="1" customHeight="1">
      <c r="A162" s="1"/>
      <c r="B162" s="1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ht="15.75" hidden="1" customHeight="1">
      <c r="A163" s="1"/>
      <c r="B163" s="1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ht="15.75" hidden="1" customHeight="1">
      <c r="A164" s="1"/>
      <c r="B164" s="1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ht="15.75" hidden="1" customHeight="1">
      <c r="A165" s="1"/>
      <c r="B165" s="1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ht="15.75" hidden="1" customHeight="1">
      <c r="A166" s="1"/>
      <c r="B166" s="1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ht="15.75" hidden="1" customHeight="1">
      <c r="A167" s="1"/>
      <c r="B167" s="1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ht="15.75" hidden="1" customHeight="1">
      <c r="A168" s="1"/>
      <c r="B168" s="1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ht="15.75" hidden="1" customHeight="1">
      <c r="A169" s="1"/>
      <c r="B169" s="1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ht="15.75" hidden="1" customHeight="1">
      <c r="A170" s="1"/>
      <c r="B170" s="1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ht="15.75" hidden="1" customHeight="1">
      <c r="A171" s="1"/>
      <c r="B171" s="1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ht="15.75" hidden="1" customHeight="1">
      <c r="A172" s="1"/>
      <c r="B172" s="1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ht="15.75" hidden="1" customHeight="1">
      <c r="A173" s="1"/>
      <c r="B173" s="1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ht="15.75" hidden="1" customHeight="1">
      <c r="A174" s="1"/>
      <c r="B174" s="1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ht="15.75" hidden="1" customHeight="1">
      <c r="A175" s="1"/>
      <c r="B175" s="1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ht="15.75" hidden="1" customHeight="1">
      <c r="A176" s="1"/>
      <c r="B176" s="1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ht="15.75" hidden="1" customHeight="1">
      <c r="A177" s="1"/>
      <c r="B177" s="1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ht="15.75" hidden="1" customHeight="1">
      <c r="A178" s="1"/>
      <c r="B178" s="1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ht="15.75" hidden="1" customHeight="1">
      <c r="A179" s="1"/>
      <c r="B179" s="1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ht="15.75" hidden="1" customHeight="1">
      <c r="A180" s="1"/>
      <c r="B180" s="1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ht="15.75" hidden="1" customHeight="1">
      <c r="A181" s="1"/>
      <c r="B181" s="1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ht="15.75" hidden="1" customHeight="1">
      <c r="A182" s="1"/>
      <c r="B182" s="1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ht="15.75" hidden="1" customHeight="1">
      <c r="A183" s="1"/>
      <c r="B183" s="1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ht="15.75" hidden="1" customHeight="1">
      <c r="A184" s="1"/>
      <c r="B184" s="1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ht="15.75" hidden="1" customHeight="1">
      <c r="A185" s="1"/>
      <c r="B185" s="1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ht="15.75" hidden="1" customHeight="1">
      <c r="A186" s="1"/>
      <c r="B186" s="1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ht="15.75" hidden="1" customHeight="1">
      <c r="A187" s="1"/>
      <c r="B187" s="1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ht="15.75" hidden="1" customHeight="1">
      <c r="A188" s="1"/>
      <c r="B188" s="1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ht="15.75" hidden="1" customHeight="1">
      <c r="A189" s="1"/>
      <c r="B189" s="1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ht="15.75" hidden="1" customHeight="1">
      <c r="A190" s="1"/>
      <c r="B190" s="1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ht="15.75" hidden="1" customHeight="1">
      <c r="A191" s="1"/>
      <c r="B191" s="1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ht="15.75" hidden="1" customHeight="1">
      <c r="A192" s="1"/>
      <c r="B192" s="1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ht="15.75" hidden="1" customHeight="1">
      <c r="A193" s="1"/>
      <c r="B193" s="1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ht="15.75" hidden="1" customHeight="1">
      <c r="A194" s="1"/>
      <c r="B194" s="1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ht="15.75" hidden="1" customHeight="1">
      <c r="A195" s="1"/>
      <c r="B195" s="1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ht="15.75" hidden="1" customHeight="1">
      <c r="A196" s="1"/>
      <c r="B196" s="1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ht="15.75" hidden="1" customHeight="1">
      <c r="A197" s="1"/>
      <c r="B197" s="1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ht="15.75" hidden="1" customHeight="1">
      <c r="A198" s="1"/>
      <c r="B198" s="1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ht="15.75" hidden="1" customHeight="1">
      <c r="A199" s="1"/>
      <c r="B199" s="1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ht="15.75" hidden="1" customHeight="1">
      <c r="A200" s="1"/>
      <c r="B200" s="1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ht="15.75" hidden="1" customHeight="1">
      <c r="A201" s="1"/>
      <c r="B201" s="1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ht="15.75" hidden="1" customHeight="1">
      <c r="A202" s="1"/>
      <c r="B202" s="1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ht="15.75" hidden="1" customHeight="1">
      <c r="A203" s="1"/>
      <c r="B203" s="1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ht="15.75" hidden="1" customHeight="1">
      <c r="A204" s="1"/>
      <c r="B204" s="1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ht="15.75" hidden="1" customHeight="1">
      <c r="A205" s="1"/>
      <c r="B205" s="1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ht="15.75" hidden="1" customHeight="1">
      <c r="A206" s="1"/>
      <c r="B206" s="1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ht="15.75" hidden="1" customHeight="1">
      <c r="A207" s="1"/>
      <c r="B207" s="1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ht="15.75" hidden="1" customHeight="1">
      <c r="A208" s="1"/>
      <c r="B208" s="1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ht="15.75" hidden="1" customHeight="1">
      <c r="A209" s="1"/>
      <c r="B209" s="1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ht="15.75" hidden="1" customHeight="1">
      <c r="A210" s="1"/>
      <c r="B210" s="1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ht="15.75" hidden="1" customHeight="1">
      <c r="A211" s="1"/>
      <c r="B211" s="1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ht="15.75" hidden="1" customHeight="1">
      <c r="A212" s="1"/>
      <c r="B212" s="1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ht="15.75" hidden="1" customHeight="1">
      <c r="A213" s="1"/>
      <c r="B213" s="1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ht="15.75" hidden="1" customHeight="1">
      <c r="A214" s="1"/>
      <c r="B214" s="1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ht="15.75" hidden="1" customHeight="1">
      <c r="A215" s="1"/>
      <c r="B215" s="1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ht="15.75" hidden="1" customHeight="1">
      <c r="A216" s="1"/>
      <c r="B216" s="1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ht="15.75" hidden="1" customHeight="1">
      <c r="A217" s="1"/>
      <c r="B217" s="1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ht="15.75" hidden="1" customHeight="1">
      <c r="A218" s="1"/>
      <c r="B218" s="1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ht="15.75" hidden="1" customHeight="1">
      <c r="A219" s="1"/>
      <c r="B219" s="1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ht="15.75" hidden="1" customHeight="1">
      <c r="A220" s="1"/>
      <c r="B220" s="1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ht="15.75" hidden="1" customHeight="1">
      <c r="A221" s="1"/>
      <c r="B221" s="1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ht="15.75" hidden="1" customHeight="1">
      <c r="A222" s="1"/>
      <c r="B222" s="1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ht="15.75" hidden="1" customHeight="1">
      <c r="A223" s="1"/>
      <c r="B223" s="1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ht="15.75" hidden="1" customHeight="1">
      <c r="A224" s="1"/>
      <c r="B224" s="1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ht="15.75" hidden="1" customHeight="1">
      <c r="A225" s="1"/>
      <c r="B225" s="1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ht="15.75" hidden="1" customHeight="1">
      <c r="A226" s="1"/>
      <c r="B226" s="1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ht="15.75" hidden="1" customHeight="1">
      <c r="A227" s="1"/>
      <c r="B227" s="1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ht="15.75" hidden="1" customHeight="1">
      <c r="A228" s="1"/>
      <c r="B228" s="1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ht="15.75" hidden="1" customHeight="1">
      <c r="A229" s="1"/>
      <c r="B229" s="1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ht="15.75" hidden="1" customHeight="1">
      <c r="A230" s="1"/>
      <c r="B230" s="1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ht="15.75" hidden="1" customHeight="1">
      <c r="A231" s="1"/>
      <c r="B231" s="1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ht="15.75" hidden="1" customHeight="1">
      <c r="A232" s="1"/>
      <c r="B232" s="1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ht="15.75" hidden="1" customHeight="1">
      <c r="A233" s="1"/>
      <c r="B233" s="1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ht="15.75" hidden="1" customHeight="1">
      <c r="A234" s="1"/>
      <c r="B234" s="1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ht="15.75" hidden="1" customHeight="1">
      <c r="A235" s="1"/>
      <c r="B235" s="1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ht="15.75" hidden="1" customHeight="1">
      <c r="A236" s="1"/>
      <c r="B236" s="1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ht="15.75" hidden="1" customHeight="1">
      <c r="A237" s="1"/>
      <c r="B237" s="1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ht="15.75" hidden="1" customHeight="1">
      <c r="A238" s="1"/>
      <c r="B238" s="1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ht="15.75" hidden="1" customHeight="1">
      <c r="A239" s="1"/>
      <c r="B239" s="1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ht="15.75" hidden="1" customHeight="1">
      <c r="A240" s="1"/>
      <c r="B240" s="1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ht="15.75" hidden="1" customHeight="1">
      <c r="A241" s="1"/>
      <c r="B241" s="1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ht="15.75" hidden="1" customHeight="1">
      <c r="A242" s="1"/>
      <c r="B242" s="1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ht="15.75" hidden="1" customHeight="1">
      <c r="A243" s="1"/>
      <c r="B243" s="1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ht="15.75" hidden="1" customHeight="1">
      <c r="A244" s="1"/>
      <c r="B244" s="1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ht="15.75" hidden="1" customHeight="1">
      <c r="A245" s="1"/>
      <c r="B245" s="1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ht="15.75" hidden="1" customHeight="1">
      <c r="A246" s="1"/>
      <c r="B246" s="1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ht="15.75" hidden="1" customHeight="1">
      <c r="A247" s="1"/>
      <c r="B247" s="1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ht="15.75" hidden="1" customHeight="1">
      <c r="A248" s="1"/>
      <c r="B248" s="1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ht="15.75" hidden="1" customHeight="1">
      <c r="A249" s="1"/>
      <c r="B249" s="1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ht="15.75" hidden="1" customHeight="1">
      <c r="A250" s="1"/>
      <c r="B250" s="1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ht="15.75" hidden="1" customHeight="1">
      <c r="A251" s="1"/>
      <c r="B251" s="1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ht="15.75" hidden="1" customHeight="1">
      <c r="A252" s="1"/>
      <c r="B252" s="1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ht="15.75" hidden="1" customHeight="1">
      <c r="A253" s="1"/>
      <c r="B253" s="1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ht="15.75" hidden="1" customHeight="1">
      <c r="A254" s="1"/>
      <c r="B254" s="1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ht="15.75" hidden="1" customHeight="1">
      <c r="A255" s="1"/>
      <c r="B255" s="1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ht="15.75" hidden="1" customHeight="1">
      <c r="A256" s="1"/>
      <c r="B256" s="1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ht="15.75" hidden="1" customHeight="1">
      <c r="A257" s="1"/>
      <c r="B257" s="1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ht="15.75" hidden="1" customHeight="1">
      <c r="A258" s="1"/>
      <c r="B258" s="1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ht="15.75" hidden="1" customHeight="1">
      <c r="A259" s="1"/>
      <c r="B259" s="1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ht="15.75" hidden="1" customHeight="1">
      <c r="A260" s="1"/>
      <c r="B260" s="1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ht="15.75" hidden="1" customHeight="1">
      <c r="A261" s="1"/>
      <c r="B261" s="1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ht="15.75" hidden="1" customHeight="1">
      <c r="A262" s="1"/>
      <c r="B262" s="1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ht="15.75" hidden="1" customHeight="1">
      <c r="A263" s="1"/>
      <c r="B263" s="1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ht="15.75" hidden="1" customHeight="1">
      <c r="A264" s="1"/>
      <c r="B264" s="1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ht="15.75" hidden="1" customHeight="1">
      <c r="A265" s="1"/>
      <c r="B265" s="1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ht="15.75" hidden="1" customHeight="1">
      <c r="A266" s="1"/>
      <c r="B266" s="1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ht="15.75" hidden="1" customHeight="1">
      <c r="A267" s="1"/>
      <c r="B267" s="1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ht="15.75" hidden="1" customHeight="1">
      <c r="A268" s="1"/>
      <c r="B268" s="1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ht="15.75" hidden="1" customHeight="1">
      <c r="A269" s="1"/>
      <c r="B269" s="1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ht="15.75" hidden="1" customHeight="1">
      <c r="A270" s="1"/>
      <c r="B270" s="1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ht="15.75" hidden="1" customHeight="1">
      <c r="A271" s="1"/>
      <c r="B271" s="1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ht="15.75" hidden="1" customHeight="1">
      <c r="A272" s="1"/>
      <c r="B272" s="1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ht="15.75" hidden="1" customHeight="1">
      <c r="A273" s="1"/>
      <c r="B273" s="1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ht="15.75" hidden="1" customHeight="1">
      <c r="A274" s="1"/>
      <c r="B274" s="1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ht="15.75" hidden="1" customHeight="1">
      <c r="A275" s="1"/>
      <c r="B275" s="1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ht="15.75" hidden="1" customHeight="1">
      <c r="A276" s="1"/>
      <c r="B276" s="1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ht="15.75" hidden="1" customHeight="1">
      <c r="A277" s="1"/>
      <c r="B277" s="1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ht="15.75" hidden="1" customHeight="1">
      <c r="A278" s="1"/>
      <c r="B278" s="1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ht="15.75" hidden="1" customHeight="1">
      <c r="A279" s="1"/>
      <c r="B279" s="1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ht="15.75" hidden="1" customHeight="1">
      <c r="A280" s="1"/>
      <c r="B280" s="1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</sheetData>
  <mergeCells count="17">
    <mergeCell ref="T20:U20"/>
    <mergeCell ref="T21:U21"/>
    <mergeCell ref="I13:S14"/>
    <mergeCell ref="I16:S17"/>
    <mergeCell ref="D23:Q23"/>
    <mergeCell ref="C34:N34"/>
    <mergeCell ref="C23:C24"/>
    <mergeCell ref="U23:U24"/>
    <mergeCell ref="T23:T24"/>
    <mergeCell ref="Y23:Y24"/>
    <mergeCell ref="Z23:Z24"/>
    <mergeCell ref="AA23:AA24"/>
    <mergeCell ref="AB23:AB24"/>
    <mergeCell ref="D5:F5"/>
    <mergeCell ref="R23:R24"/>
    <mergeCell ref="I19:R20"/>
    <mergeCell ref="S23:S24"/>
  </mergeCells>
  <conditionalFormatting sqref="D25:Q31">
    <cfRule type="cellIs" dxfId="0" priority="1" stopIfTrue="1" operator="equal">
      <formula>0</formula>
    </cfRule>
  </conditionalFormatting>
  <conditionalFormatting sqref="C30:R30">
    <cfRule type="expression" dxfId="1" priority="2" stopIfTrue="1">
      <formula>OR($R$30&lt;$J$54,$R$30&gt;$J$55)</formula>
    </cfRule>
  </conditionalFormatting>
  <conditionalFormatting sqref="C29:R29">
    <cfRule type="expression" dxfId="1" priority="3" stopIfTrue="1">
      <formula>OR($R$29&lt;$J$54,$R$29&gt;$J$55)</formula>
    </cfRule>
  </conditionalFormatting>
  <conditionalFormatting sqref="C31:U31">
    <cfRule type="expression" dxfId="2" priority="4" stopIfTrue="1">
      <formula>OR($R$31&lt;$I$54,$R$31&gt;$I$55)</formula>
    </cfRule>
  </conditionalFormatting>
  <conditionalFormatting sqref="C31:R31">
    <cfRule type="expression" dxfId="1" priority="5" stopIfTrue="1">
      <formula>OR($R$31&lt;$J$54,$R$31&gt;$J$55)</formula>
    </cfRule>
  </conditionalFormatting>
  <conditionalFormatting sqref="C29:U29">
    <cfRule type="expression" dxfId="2" priority="6" stopIfTrue="1">
      <formula>OR($R$29&lt;$I$54,$R$29&gt;$I$55)</formula>
    </cfRule>
  </conditionalFormatting>
  <conditionalFormatting sqref="D25:U31">
    <cfRule type="cellIs" dxfId="3" priority="7" operator="greaterThan">
      <formula>0</formula>
    </cfRule>
  </conditionalFormatting>
  <conditionalFormatting sqref="C30:U30">
    <cfRule type="expression" dxfId="2" priority="8" stopIfTrue="1">
      <formula>OR($R$30&lt;$I$54,$R$30&gt;$I$55)</formula>
    </cfRule>
  </conditionalFormatting>
  <conditionalFormatting sqref="C25:R25">
    <cfRule type="expression" dxfId="1" priority="9" stopIfTrue="1">
      <formula>OR($R$25&lt;$J$54,$R$25&gt;$J$55)</formula>
    </cfRule>
  </conditionalFormatting>
  <conditionalFormatting sqref="C26:R26">
    <cfRule type="expression" dxfId="1" priority="10" stopIfTrue="1">
      <formula>OR($R$26&lt;$J$54,$R$26&gt;$J$55)</formula>
    </cfRule>
  </conditionalFormatting>
  <conditionalFormatting sqref="C27:R27">
    <cfRule type="expression" dxfId="1" priority="11" stopIfTrue="1">
      <formula>OR($R$27&lt;$J$54,$R$27&gt;$J$55)</formula>
    </cfRule>
  </conditionalFormatting>
  <conditionalFormatting sqref="C28:R28">
    <cfRule type="expression" dxfId="1" priority="12" stopIfTrue="1">
      <formula>OR($R$28&lt;$J$54,$R$28&gt;$J$55)</formula>
    </cfRule>
  </conditionalFormatting>
  <conditionalFormatting sqref="C28:U28">
    <cfRule type="expression" dxfId="2" priority="13" stopIfTrue="1">
      <formula>OR($R$28&lt;$I$54,$R$28&gt;$I$55)</formula>
    </cfRule>
  </conditionalFormatting>
  <conditionalFormatting sqref="C27:U27">
    <cfRule type="expression" dxfId="2" priority="14" stopIfTrue="1">
      <formula>OR($R$27&lt;$I$54,$R$27&gt;$I$55)</formula>
    </cfRule>
  </conditionalFormatting>
  <conditionalFormatting sqref="C26:U26">
    <cfRule type="expression" dxfId="2" priority="15" stopIfTrue="1">
      <formula>OR($R$26&lt;$I$54,$R$26&gt;$I$55)</formula>
    </cfRule>
  </conditionalFormatting>
  <conditionalFormatting sqref="C25:U25">
    <cfRule type="expression" dxfId="2" priority="16" stopIfTrue="1">
      <formula>OR($R$25&lt;$I$54,$R$25&gt;$I$55)</formula>
    </cfRule>
  </conditionalFormatting>
  <dataValidations>
    <dataValidation type="decimal" allowBlank="1" showInputMessage="1" prompt="Nominal Load Out of Range - Please enter a Value of 75% ~ 100%" sqref="E10">
      <formula1>75.0</formula1>
      <formula2>100.0</formula2>
    </dataValidation>
    <dataValidation type="decimal" operator="greaterThanOrEqual" allowBlank="1" showInputMessage="1" prompt="Invalid Cap Rated Voltage - Rated Voltage of Capacitor must be &gt;= Network Voltage (L-L) !" sqref="E13">
      <formula1>E14</formula1>
    </dataValidation>
    <dataValidation type="decimal" allowBlank="1" showInputMessage="1" showErrorMessage="1" prompt="Out of Range - Integer Value from 2 to 5000 Only" sqref="E7">
      <formula1>2.0</formula1>
      <formula2>5000.0</formula2>
    </dataValidation>
    <dataValidation type="list" allowBlank="1" showErrorMessage="1" sqref="E15">
      <formula1>$A$37:$A$49</formula1>
    </dataValidation>
    <dataValidation type="decimal" operator="greaterThanOrEqual" allowBlank="1" showInputMessage="1" showErrorMessage="1" prompt="Min PF Out of Range - Minimum allowed PF = 0.05 !" sqref="E8">
      <formula1>0.05</formula1>
    </dataValidation>
    <dataValidation type="list" allowBlank="1" showErrorMessage="1" sqref="E16">
      <formula1>$A$51:$A$54</formula1>
    </dataValidation>
    <dataValidation type="list" allowBlank="1" showInputMessage="1" prompt="Out of Range - The CT input value is likely not in the specified MD range !" sqref="E12">
      <formula1>$A$57:$A$80</formula1>
    </dataValidation>
    <dataValidation type="decimal" operator="lessThanOrEqual" allowBlank="1" showInputMessage="1" showErrorMessage="1" prompt="Max PF Out of Range - Maximum PF = 1.00 only !" sqref="E9">
      <formula1>1.0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21</vt:i4>
      </vt:variant>
    </vt:vector>
  </HeadingPairs>
  <TitlesOfParts>
    <vt:vector baseType="lpstr" size="22">
      <vt:lpstr>CapSizing</vt:lpstr>
      <vt:lpstr>Cap_Vr</vt:lpstr>
      <vt:lpstr>cap1st</vt:lpstr>
      <vt:lpstr>CapRatio</vt:lpstr>
      <vt:lpstr>CapSurgeAmpR</vt:lpstr>
      <vt:lpstr>CTsel</vt:lpstr>
      <vt:lpstr>CTval</vt:lpstr>
      <vt:lpstr>deltaSize</vt:lpstr>
      <vt:lpstr>L_pct</vt:lpstr>
      <vt:lpstr>Lfactor</vt:lpstr>
      <vt:lpstr>MD_org</vt:lpstr>
      <vt:lpstr>MD_pct</vt:lpstr>
      <vt:lpstr>Net_Vll</vt:lpstr>
      <vt:lpstr>norm_kW</vt:lpstr>
      <vt:lpstr>PFini</vt:lpstr>
      <vt:lpstr>PFtar</vt:lpstr>
      <vt:lpstr>QHi13pct</vt:lpstr>
      <vt:lpstr>QLo13pct</vt:lpstr>
      <vt:lpstr>QreqLimitHi</vt:lpstr>
      <vt:lpstr>QreqLimitLo</vt:lpstr>
      <vt:lpstr>reqCapR</vt:lpstr>
      <vt:lpstr>surgeFactor</vt:lpstr>
    </vt:vector>
  </TitlesOfParts>
  <LinksUpToDate>false</LinksUpToDate>
  <SharedDoc>false</SharedDoc>
  <HyperlinksChanged>false</HyperlinksChanged>
  <Application>Excel Android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2016-09-26T07:26:50Z</dcterms:created>
  <dc:creator>Jeffrey Yap</dc:creator>
  <cp:lastModifiedBy>Jeffrey Yap</cp:lastModifiedBy>
  <dcterms:modified xsi:type="dcterms:W3CDTF">2017-04-05T06:12:10Z</dcterms:modified>
</cp:coreProperties>
</file>